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_Predpoklady" sheetId="1" state="visible" r:id="rId3"/>
    <sheet name="2_Casova_os_stada" sheetId="2" state="visible" r:id="rId4"/>
    <sheet name="3_Kategorie_zvierat" sheetId="3" state="visible" r:id="rId5"/>
    <sheet name="4_PnL_cielovy_stav" sheetId="4" state="visible" r:id="rId6"/>
    <sheet name="5_CAPEX" sheetId="5" state="visible" r:id="rId7"/>
    <sheet name="6_Citlivost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<sst xmlns="http://schemas.openxmlformats.org/spreadsheetml/2006/main" count="435" uniqueCount="386">
  <si>
    <t xml:space="preserve">FIENOX PREMIUM DAIRY — PREDPOKLADY MODELU</t>
  </si>
  <si>
    <t xml:space="preserve">Modré bunky = vstupy (môžeš meniť) | Čierne = vzorce | Zelené = odkazy medzi listami</t>
  </si>
  <si>
    <t xml:space="preserve">A. STÁDO A ROBOTIKA</t>
  </si>
  <si>
    <t xml:space="preserve">Cieľový počet dojníc (steady state)</t>
  </si>
  <si>
    <t xml:space="preserve">ks</t>
  </si>
  <si>
    <t xml:space="preserve">60 dojníc/robot × 6 robotov</t>
  </si>
  <si>
    <t xml:space="preserve">Počet Lely Astronaut A5 (cieľ)</t>
  </si>
  <si>
    <t xml:space="preserve">Inštalácia v 3 vlnách po 2 ks</t>
  </si>
  <si>
    <t xml:space="preserve">Kapacita 1 robota (Jersey)</t>
  </si>
  <si>
    <t xml:space="preserve">Jersey menšie, rýchlejšie dojenie ako Holstein</t>
  </si>
  <si>
    <t xml:space="preserve">Pomer suchostojaše/dojnice</t>
  </si>
  <si>
    <t xml:space="preserve">60 dní suchostoj / 365 dní cyklu</t>
  </si>
  <si>
    <t xml:space="preserve">Reprodukčný výpadok (cull rate)</t>
  </si>
  <si>
    <t xml:space="preserve">/rok</t>
  </si>
  <si>
    <t xml:space="preserve">Jersey žije dlhšie ako Holstein (4-5 laktácií)</t>
  </si>
  <si>
    <t xml:space="preserve">Vek prvého otelenia</t>
  </si>
  <si>
    <t xml:space="preserve">mes.</t>
  </si>
  <si>
    <t xml:space="preserve">Jersey skôr ako Holstein (24-26 mes.)</t>
  </si>
  <si>
    <t xml:space="preserve">B. ÚŽITKOVOSŤ</t>
  </si>
  <si>
    <t xml:space="preserve">Mlieko / dojnica / rok (heumilch Jersey)</t>
  </si>
  <si>
    <t xml:space="preserve">L</t>
  </si>
  <si>
    <t xml:space="preserve">Heumilch režim ~10-15% pod TMR; Holstein heumilch by bol 6500-7500</t>
  </si>
  <si>
    <t xml:space="preserve">Tuk</t>
  </si>
  <si>
    <t xml:space="preserve">Jersey 5,0-5,8 % (Holstein 3,8-4,2 %)</t>
  </si>
  <si>
    <t xml:space="preserve">Bielkoviny</t>
  </si>
  <si>
    <t xml:space="preserve">Jersey 3,8-4,2 %</t>
  </si>
  <si>
    <t xml:space="preserve">Dni v laktácii (DIM)</t>
  </si>
  <si>
    <t xml:space="preserve">dní</t>
  </si>
  <si>
    <t xml:space="preserve">Štandardná laktácia</t>
  </si>
  <si>
    <t xml:space="preserve">Dni suchostoja</t>
  </si>
  <si>
    <t xml:space="preserve">Štandard</t>
  </si>
  <si>
    <t xml:space="preserve">Medziobdobie (calving interval)</t>
  </si>
  <si>
    <t xml:space="preserve">Cieľová hodnota</t>
  </si>
  <si>
    <t xml:space="preserve">C. CENA MLIEKA (BASE SCENÁR)</t>
  </si>
  <si>
    <t xml:space="preserve">Slovenská komodita (referencia)</t>
  </si>
  <si>
    <t xml:space="preserve">/L</t>
  </si>
  <si>
    <t xml:space="preserve">Apríl 2026, mliečna kríza</t>
  </si>
  <si>
    <t xml:space="preserve">Premium heumilch</t>
  </si>
  <si>
    <t xml:space="preserve">Rakúsko platí +5-10 c/L</t>
  </si>
  <si>
    <t xml:space="preserve">Premium A2A2 (B2B)</t>
  </si>
  <si>
    <t xml:space="preserve">B2B premium pre cheese-makera</t>
  </si>
  <si>
    <t xml:space="preserve">Premium bio</t>
  </si>
  <si>
    <t xml:space="preserve">+10-15 c/L EÚ stabilne</t>
  </si>
  <si>
    <t xml:space="preserve">Premium κ-CN BB (cheese yield)</t>
  </si>
  <si>
    <t xml:space="preserve">+10-15% syrová výťažnosť</t>
  </si>
  <si>
    <t xml:space="preserve">Premium Jersey solids</t>
  </si>
  <si>
    <t xml:space="preserve">Vyššie tuky a bielkoviny</t>
  </si>
  <si>
    <t xml:space="preserve">→ CIEĽOVÁ CENA MLIEKA (Base)</t>
  </si>
  <si>
    <t xml:space="preserve">Realistický base scenár pre raw milk export do Talianska</t>
  </si>
  <si>
    <t xml:space="preserve">D. VEDĽAJŠIE PRÍJMY</t>
  </si>
  <si>
    <t xml:space="preserve">Cena mäsovo-krížového teľaťa (predaj 14-21 dní)</t>
  </si>
  <si>
    <t xml:space="preserve">/ks</t>
  </si>
  <si>
    <t xml:space="preserve">Beef AI na spodných 40% stáda</t>
  </si>
  <si>
    <t xml:space="preserve">Cena vyradenej dojnice</t>
  </si>
  <si>
    <t xml:space="preserve">Cull cow do mäsa (Jersey nižšia hmotnosť)</t>
  </si>
  <si>
    <t xml:space="preserve">Cena prebytkovej teľnej jalovice (predaj iným)</t>
  </si>
  <si>
    <t xml:space="preserve">Surplus z aggressive sexed semen</t>
  </si>
  <si>
    <t xml:space="preserve">Eko-platba (heumilch + bio + carbon)</t>
  </si>
  <si>
    <t xml:space="preserve">/ha/rok</t>
  </si>
  <si>
    <t xml:space="preserve">Slov. PRV + EÚ + možný carbon credit</t>
  </si>
  <si>
    <t xml:space="preserve">Plocha s eko-platbou</t>
  </si>
  <si>
    <t xml:space="preserve">ha</t>
  </si>
  <si>
    <t xml:space="preserve">TTP Horehronie</t>
  </si>
  <si>
    <t xml:space="preserve">E. OPEX (na dojnicu/rok)</t>
  </si>
  <si>
    <t xml:space="preserve">Krmivo nakupované (koncentráty, minerálie)</t>
  </si>
  <si>
    <t xml:space="preserve">/ks/rok</t>
  </si>
  <si>
    <t xml:space="preserve">Heumilch nižšie ako TMR; vlastné seno cez SAN Trading</t>
  </si>
  <si>
    <t xml:space="preserve">Veterina, lieky, plemenárstvo</t>
  </si>
  <si>
    <t xml:space="preserve">Vrátane embrá/AI nákladov</t>
  </si>
  <si>
    <t xml:space="preserve">Stelivo, hygiena, čistenie</t>
  </si>
  <si>
    <t xml:space="preserve">Slamník alebo piesok</t>
  </si>
  <si>
    <t xml:space="preserve">Energia (chladenie, robot, svetlo)</t>
  </si>
  <si>
    <t xml:space="preserve">Lely + cooling tank dominujú</t>
  </si>
  <si>
    <t xml:space="preserve">Opravy a údržba (nezahrnuté Lely)</t>
  </si>
  <si>
    <t xml:space="preserve">Maštaľ, fences, plot</t>
  </si>
  <si>
    <t xml:space="preserve">Lely servisná zmluva (full)</t>
  </si>
  <si>
    <t xml:space="preserve">/robot/rok</t>
  </si>
  <si>
    <t xml:space="preserve">Na 1 robota / rok, full-service</t>
  </si>
  <si>
    <t xml:space="preserve">Náklad na odchov 1 jalovice (0→prvôstka)</t>
  </si>
  <si>
    <t xml:space="preserve">24 mesiacov odchovu, vlastné krmivo</t>
  </si>
  <si>
    <t xml:space="preserve">F. MZDY (FTE)</t>
  </si>
  <si>
    <t xml:space="preserve">Hlavný zootechnik / farm manager</t>
  </si>
  <si>
    <t xml:space="preserve">€/rok hrubé</t>
  </si>
  <si>
    <t xml:space="preserve">Senior s dairy backgroundom</t>
  </si>
  <si>
    <t xml:space="preserve">Ošetrovateľ-dojič (Lely operator)</t>
  </si>
  <si>
    <t xml:space="preserve">1 FTE / 100-120 dojníc</t>
  </si>
  <si>
    <t xml:space="preserve">Počet ošetrovateľov pri 360 ks</t>
  </si>
  <si>
    <t xml:space="preserve">FTE</t>
  </si>
  <si>
    <t xml:space="preserve">Lely automation šetrí ~50% prácu</t>
  </si>
  <si>
    <t xml:space="preserve">Krmič / agrotechnik</t>
  </si>
  <si>
    <t xml:space="preserve">Mení sa s plochou / SAN Trading sync</t>
  </si>
  <si>
    <t xml:space="preserve">Telciarka / heifer manager</t>
  </si>
  <si>
    <t xml:space="preserve">Critical role pre pipeline</t>
  </si>
  <si>
    <t xml:space="preserve">Sociálne odvody zamestnávateľa</t>
  </si>
  <si>
    <t xml:space="preserve">Slovensko ~35,2 %</t>
  </si>
  <si>
    <t xml:space="preserve">G. OSTATNÉ FIXNÉ NÁKLADY</t>
  </si>
  <si>
    <t xml:space="preserve">Poistenie (zvieratá, budovy, technika)</t>
  </si>
  <si>
    <t xml:space="preserve">€/rok</t>
  </si>
  <si>
    <t xml:space="preserve">Critical pre dairy</t>
  </si>
  <si>
    <t xml:space="preserve">Administrácia, certifikácie (bio, heumilch)</t>
  </si>
  <si>
    <t xml:space="preserve">Bio audit + heumilch + ISO</t>
  </si>
  <si>
    <t xml:space="preserve">Marketing, vzťah s odberateľom</t>
  </si>
  <si>
    <t xml:space="preserve">IT exporty Taliansko</t>
  </si>
  <si>
    <t xml:space="preserve">Účtovníctvo, poradenstvo, právo</t>
  </si>
  <si>
    <t xml:space="preserve">Vrátane medzinárodného (taliansky odber)</t>
  </si>
  <si>
    <t xml:space="preserve">H. CAPEX (jednorazové investície)</t>
  </si>
  <si>
    <t xml:space="preserve">Jalovica vysokoteľná Jersey A2A2+κBB landed</t>
  </si>
  <si>
    <t xml:space="preserve">Dánsko, all-in vrátane transportu a poistenia</t>
  </si>
  <si>
    <t xml:space="preserve">Jalovica open (12-15 mes.)</t>
  </si>
  <si>
    <t xml:space="preserve">Lacnejšia alternatíva, dlhší time-to-milk</t>
  </si>
  <si>
    <t xml:space="preserve">Maštaľ free-stall (na dojnicu, full-spec)</t>
  </si>
  <si>
    <t xml:space="preserve">/ks kapacity</t>
  </si>
  <si>
    <t xml:space="preserve">Premium Jersey-sized, vrátane infra</t>
  </si>
  <si>
    <t xml:space="preserve">Lely Astronaut A5 inštalovaný</t>
  </si>
  <si>
    <t xml:space="preserve">Vrátane IT, tank integration, montáž</t>
  </si>
  <si>
    <t xml:space="preserve">Skladovacia kapacita sena (heumilch)</t>
  </si>
  <si>
    <t xml:space="preserve">celkom</t>
  </si>
  <si>
    <t xml:space="preserve">Heumilch potrebuje 3-4× viac skladu ako siláž</t>
  </si>
  <si>
    <t xml:space="preserve">Hnojisko, jamy, manure handling</t>
  </si>
  <si>
    <t xml:space="preserve">Slovenská legislatíva, kapacita 6 mes.</t>
  </si>
  <si>
    <t xml:space="preserve">Mliečnica, cooling tank, infraštruktúra</t>
  </si>
  <si>
    <t xml:space="preserve">Vrátane bulk tank pre cisternu</t>
  </si>
  <si>
    <t xml:space="preserve">Cesty, oplotenie, paddocky, voda</t>
  </si>
  <si>
    <t xml:space="preserve">Pasture access + fencing pre rotáciu</t>
  </si>
  <si>
    <t xml:space="preserve">Kalfárna, jaloviciareň</t>
  </si>
  <si>
    <t xml:space="preserve">Critical infrastructure pre pipeline</t>
  </si>
  <si>
    <t xml:space="preserve">Engineering, povolenia, contingency</t>
  </si>
  <si>
    <t xml:space="preserve">% z hard CAPEX</t>
  </si>
  <si>
    <t xml:space="preserve">ČASOVÁ OS STÁDA — Build-up plán 2026-2032</t>
  </si>
  <si>
    <t xml:space="preserve">3 vlny importu, 6 robotov v 3 fázach, samoreplikujúce stádo od Y4</t>
  </si>
  <si>
    <t xml:space="preserve">ROK</t>
  </si>
  <si>
    <t xml:space="preserve">2026</t>
  </si>
  <si>
    <t xml:space="preserve">2027</t>
  </si>
  <si>
    <t xml:space="preserve">2028</t>
  </si>
  <si>
    <t xml:space="preserve">2029</t>
  </si>
  <si>
    <t xml:space="preserve">2030</t>
  </si>
  <si>
    <t xml:space="preserve">2031</t>
  </si>
  <si>
    <t xml:space="preserve">2032</t>
  </si>
  <si>
    <t xml:space="preserve">Fáza</t>
  </si>
  <si>
    <t xml:space="preserve">Stavba</t>
  </si>
  <si>
    <t xml:space="preserve">Vlna 1</t>
  </si>
  <si>
    <t xml:space="preserve">Vlna 2</t>
  </si>
  <si>
    <t xml:space="preserve">Vlna 3</t>
  </si>
  <si>
    <t xml:space="preserve">Ramp</t>
  </si>
  <si>
    <t xml:space="preserve">Steady</t>
  </si>
  <si>
    <t xml:space="preserve">IMPORTY ZVIERAT</t>
  </si>
  <si>
    <t xml:space="preserve">Wave 1 — vysokoteľné jalovice (in-calf)</t>
  </si>
  <si>
    <t xml:space="preserve">Wave 1 — open jalovice (12-15m)</t>
  </si>
  <si>
    <t xml:space="preserve">Wave 2 — vysokoteľné jalovice</t>
  </si>
  <si>
    <t xml:space="preserve">Wave 2 — open jalovice</t>
  </si>
  <si>
    <t xml:space="preserve">Wave 3 — vysokoteľné jalovice</t>
  </si>
  <si>
    <t xml:space="preserve">Wave 3 — open jalovice</t>
  </si>
  <si>
    <t xml:space="preserve">→ SPOLU IMPORTOV V ROKU</t>
  </si>
  <si>
    <t xml:space="preserve">Kumulatívne importy (€ inv.)</t>
  </si>
  <si>
    <t xml:space="preserve">ROBOTI LELY ASTRONAUT A5</t>
  </si>
  <si>
    <t xml:space="preserve">Roboti inštalovaní v roku</t>
  </si>
  <si>
    <t xml:space="preserve">Roboti aktívne (kumulatívne)</t>
  </si>
  <si>
    <t xml:space="preserve">Kapacita robotov (max dojníc)</t>
  </si>
  <si>
    <t xml:space="preserve">STAV ZVIERAT KONCA ROKA (po kategóriách)</t>
  </si>
  <si>
    <t xml:space="preserve">Telce 0-3m (calves)</t>
  </si>
  <si>
    <t xml:space="preserve">Telce 3-6m</t>
  </si>
  <si>
    <t xml:space="preserve">Jalovice 6-12m</t>
  </si>
  <si>
    <t xml:space="preserve">Jalovice 12-15m (breeding age)</t>
  </si>
  <si>
    <t xml:space="preserve">Pripustené jalovice 15-22m (in-calf)</t>
  </si>
  <si>
    <t xml:space="preserve">Vysokoteľné jalovice 22-23m (springer)</t>
  </si>
  <si>
    <t xml:space="preserve">Prvôstky / 1. laktácia</t>
  </si>
  <si>
    <t xml:space="preserve">Dojnice 2.+ laktácia</t>
  </si>
  <si>
    <t xml:space="preserve">Suchostojaše (dry cows)</t>
  </si>
  <si>
    <t xml:space="preserve">→ Telce + jalovice (pipeline)</t>
  </si>
  <si>
    <t xml:space="preserve">→ Dojné kravy (laktácia + suchostoj)</t>
  </si>
  <si>
    <t xml:space="preserve">  z toho v laktácii (= dojené)</t>
  </si>
  <si>
    <t xml:space="preserve">→ SPOLU ZVIERAT NA FARME</t>
  </si>
  <si>
    <t xml:space="preserve">TOKY (v priebehu roka)</t>
  </si>
  <si>
    <t xml:space="preserve">Otelenia v roku</t>
  </si>
  <si>
    <t xml:space="preserve">  z toho Jersey heifer calves (sexed)</t>
  </si>
  <si>
    <t xml:space="preserve">  z toho beef-cross + bull (predaj)</t>
  </si>
  <si>
    <t xml:space="preserve">Vyradené dojnice (cull)</t>
  </si>
  <si>
    <t xml:space="preserve">Predaj surplus jalovíc</t>
  </si>
  <si>
    <t xml:space="preserve">VYŤAŽENIE ROBOTOV</t>
  </si>
  <si>
    <t xml:space="preserve">Dojnice na 1 robota</t>
  </si>
  <si>
    <t xml:space="preserve">Vyťaženie kapacity robotov</t>
  </si>
  <si>
    <t xml:space="preserve">PRODUKCIA MLIEKA</t>
  </si>
  <si>
    <t xml:space="preserve">Vážený priemer dojníc v roku</t>
  </si>
  <si>
    <t xml:space="preserve">Reálny yield/ks (kompozícia stáda)</t>
  </si>
  <si>
    <t xml:space="preserve">→ PRODUKCIA MLIEKA (L/rok)</t>
  </si>
  <si>
    <t xml:space="preserve">POZNÁMKY KU MODELU:</t>
  </si>
  <si>
    <t xml:space="preserve">• Plný stav 360 dojníc dosahuješ v Y4-Y5 (2030-2031), pred tým postupný ramp</t>
  </si>
  <si>
    <t xml:space="preserve">• Vlna 1: 130 ks (80 in-calf + 50 open) — optimálne fázovanie pre learning curve</t>
  </si>
  <si>
    <t xml:space="preserve">• Self-replacing pipeline funguje od Y4 (vlastné jalovice z Y2 calvings)</t>
  </si>
  <si>
    <t xml:space="preserve">• Produkcia v Y1 je 85% maturita lebo všetky kravy prvôstky; v Y6 už mature 100%</t>
  </si>
  <si>
    <t xml:space="preserve">• Surplus jalovice = doplnkový revenue stream cez sexed semen na top 60% stáda</t>
  </si>
  <si>
    <t xml:space="preserve">• Cull rate Jersey 25% je nižší ako Holstein (30-35%) — Jersey žije 4-5 laktácií</t>
  </si>
  <si>
    <t xml:space="preserve">KATEGÓRIE ZVIERAT — Vysvetlenie a životný cyklus</t>
  </si>
  <si>
    <t xml:space="preserve">Životný cyklus Jersey dojnice od narodenia po cull (v 4-5 laktácii)</t>
  </si>
  <si>
    <t xml:space="preserve">Kategória</t>
  </si>
  <si>
    <t xml:space="preserve">Vek</t>
  </si>
  <si>
    <t xml:space="preserve">Hmotnosť</t>
  </si>
  <si>
    <t xml:space="preserve">Stav</t>
  </si>
  <si>
    <t xml:space="preserve">Ks v stáde 360</t>
  </si>
  <si>
    <t xml:space="preserve">Popis a manažment</t>
  </si>
  <si>
    <t xml:space="preserve">1. Telce mladé (calves)</t>
  </si>
  <si>
    <t xml:space="preserve">0-3 mes.</t>
  </si>
  <si>
    <t xml:space="preserve">30-90 kg</t>
  </si>
  <si>
    <t xml:space="preserve">Mlieko + štarter</t>
  </si>
  <si>
    <t xml:space="preserve">~25</t>
  </si>
  <si>
    <t xml:space="preserve">Prvé 24-48 hod kolostrum, potom kŕmené mliekom alebo náhradou. Bývajú v individuálnych búdach (calf hutches) prvé 2-3 týždne, potom skupinové pens. Kritická fáza pre zdravie a budúcu úžitkovosť.</t>
  </si>
  <si>
    <t xml:space="preserve">2. Telce odstavené</t>
  </si>
  <si>
    <t xml:space="preserve">3-6 mes.</t>
  </si>
  <si>
    <t xml:space="preserve">90-160 kg</t>
  </si>
  <si>
    <t xml:space="preserve">TMR + seno</t>
  </si>
  <si>
    <t xml:space="preserve">~22</t>
  </si>
  <si>
    <t xml:space="preserve">Po odstave (~8-10 týž) prechod na pevné krmivo: štarter, seno, voda. Skupinové ustajnenie. Vakcinácia podľa programu.</t>
  </si>
  <si>
    <t xml:space="preserve">3. Jalovice rastúce</t>
  </si>
  <si>
    <t xml:space="preserve">6-12 mes.</t>
  </si>
  <si>
    <t xml:space="preserve">160-280 kg</t>
  </si>
  <si>
    <t xml:space="preserve">Pastva + seno</t>
  </si>
  <si>
    <t xml:space="preserve">~45</t>
  </si>
  <si>
    <t xml:space="preserve">Najlacnejšia fáza odchovu — pastva + seno, minimum koncentrátov. Heumilch farma má tu výhodu (využitie TTP). Rast 0,7-0,9 kg/deň.</t>
  </si>
  <si>
    <t xml:space="preserve">4. Jalovice pripúšťacie</t>
  </si>
  <si>
    <t xml:space="preserve">12-15 mes.</t>
  </si>
  <si>
    <t xml:space="preserve">280-360 kg</t>
  </si>
  <si>
    <t xml:space="preserve">Pred zapustením</t>
  </si>
  <si>
    <t xml:space="preserve">Jersey je vhodná na zapustenie pri 13-14 mes. (Holstein 14-16). BCS 3,0-3,5. Sexed semeno alebo embryotransfer pre genetický pokrok. Cieľ: prvé otelenie ~22-23 mes.</t>
  </si>
  <si>
    <t xml:space="preserve">5. Pripustené jalovice (in-calf)</t>
  </si>
  <si>
    <t xml:space="preserve">15-22 mes.</t>
  </si>
  <si>
    <t xml:space="preserve">360-450 kg</t>
  </si>
  <si>
    <t xml:space="preserve">Bridi (1.-7. mes.)</t>
  </si>
  <si>
    <t xml:space="preserve">~70</t>
  </si>
  <si>
    <t xml:space="preserve">Diagnostika gravidity 35 dní po pripustení (ultrazvuk). Pastva + seno. Ku koncu gravidity transition feeding.</t>
  </si>
  <si>
    <t xml:space="preserve">6. Vysokoteľné jalovice (springers)</t>
  </si>
  <si>
    <t xml:space="preserve">22-23 mes.</t>
  </si>
  <si>
    <t xml:space="preserve">440-490 kg</t>
  </si>
  <si>
    <t xml:space="preserve">Tesne pred otelením</t>
  </si>
  <si>
    <t xml:space="preserve">Posledné 2-3 týždne pred otelením. Premiestnenie do dryl-cow / springer pen. Transition diéta (príprava bachoru na laktáciu). Toto je kategória, ktorú importuješ v Dánsku — pripravená na pôrod.</t>
  </si>
  <si>
    <t xml:space="preserve">7. Prvôstky / 1. laktácia</t>
  </si>
  <si>
    <t xml:space="preserve">23-36 mes.</t>
  </si>
  <si>
    <t xml:space="preserve">420-460 kg</t>
  </si>
  <si>
    <t xml:space="preserve">Dojná, 1. laktácia</t>
  </si>
  <si>
    <t xml:space="preserve">~90</t>
  </si>
  <si>
    <t xml:space="preserve">Najnižšia úžitkovosť (80-85 % zrelej). Stresová kategória — adaptácia na dojenie, robotický systém, sociálnu hierarchiu. Lely pomáha (každá krava si chodí dojiť kedy chce).</t>
  </si>
  <si>
    <t xml:space="preserve">8. Dojnice 2.+ laktácia</t>
  </si>
  <si>
    <t xml:space="preserve">3-7 rokov</t>
  </si>
  <si>
    <t xml:space="preserve">460-530 kg</t>
  </si>
  <si>
    <t xml:space="preserve">Dojná, vrchol kariéry</t>
  </si>
  <si>
    <t xml:space="preserve">~210</t>
  </si>
  <si>
    <t xml:space="preserve">Najproduktívnejšia kategória, 100 % maturita. Jersey má vrchol v 3.-4. laktácii. Reprodukčný cyklus: laktácia 305 dní + suchostoj 60 dní.</t>
  </si>
  <si>
    <t xml:space="preserve">9. Dojnice v stojivosti (dry cows)</t>
  </si>
  <si>
    <t xml:space="preserve">rotuje</t>
  </si>
  <si>
    <t xml:space="preserve">~510 kg</t>
  </si>
  <si>
    <t xml:space="preserve">Posledných 60 dní gravidity</t>
  </si>
  <si>
    <t xml:space="preserve">~60</t>
  </si>
  <si>
    <t xml:space="preserve">Bez dojenia. Body-scoring. Critical pre prevenciu metabolických chorôb. Príprava bachoru na nasledujúcu laktáciu (close-up diéta posledných 3 týždňov).</t>
  </si>
  <si>
    <t xml:space="preserve">→ SPOLU NA FARME</t>
  </si>
  <si>
    <t xml:space="preserve">~570</t>
  </si>
  <si>
    <t xml:space="preserve">Z toho 360 dojníc + 60 suchostojaších + ~150 zvierat v pipeline (telce, jalovice)</t>
  </si>
  <si>
    <t xml:space="preserve">OBNOVA STÁDA (steady state Y5+)</t>
  </si>
  <si>
    <t xml:space="preserve">Východisko: 360 dojníc, cull rate 25 %/rok</t>
  </si>
  <si>
    <t xml:space="preserve">Otelenia v roku (95 % calving rate)</t>
  </si>
  <si>
    <t xml:space="preserve">342 ks</t>
  </si>
  <si>
    <t xml:space="preserve">Stratégia: sexed semeno na top 60 % stáda (216 kráv) + beef AI na spodných 40 %</t>
  </si>
  <si>
    <t xml:space="preserve">  → Sexed semeno: 216 × 95 % × 90 % female = 185 jersey heifer calves</t>
  </si>
  <si>
    <t xml:space="preserve">  → Beef AI: 144 × 95 % = 137 beef-cross calves (mix male/female, predaj 14-21 dní)</t>
  </si>
  <si>
    <t xml:space="preserve">  → Bull calves dairy (10 % zo sexed): ~21 ks (predaj)</t>
  </si>
  <si>
    <t xml:space="preserve">Mortalita 0-24 mesiacov (~12 %)</t>
  </si>
  <si>
    <t xml:space="preserve">-22 ks</t>
  </si>
  <si>
    <t xml:space="preserve">Jalovice dosahujúce 1. otelenie</t>
  </si>
  <si>
    <t xml:space="preserve">~163 ks</t>
  </si>
  <si>
    <t xml:space="preserve">Potrebná náhrada (25 % z 360)</t>
  </si>
  <si>
    <t xml:space="preserve">90 ks</t>
  </si>
  <si>
    <t xml:space="preserve">→ SURPLUS jalovíc na predaj</t>
  </si>
  <si>
    <t xml:space="preserve">~73 ks</t>
  </si>
  <si>
    <t xml:space="preserve">Príjem zo surplus (73 × 2 400 €)</t>
  </si>
  <si>
    <t xml:space="preserve">~175 k€</t>
  </si>
  <si>
    <t xml:space="preserve">Príjem z beef calves (~137 × 220 €)</t>
  </si>
  <si>
    <t xml:space="preserve">~30 k€</t>
  </si>
  <si>
    <t xml:space="preserve">Príjem z cull cows (90 × 700 €)</t>
  </si>
  <si>
    <t xml:space="preserve">~63 k€</t>
  </si>
  <si>
    <t xml:space="preserve">P&amp;L CIEĽOVÝ STAV (steady state, 360 dojníc, base scenár)</t>
  </si>
  <si>
    <t xml:space="preserve">Y5+ ekonomika pri base price (~0,75 €/L) a yield 6 000 L/dojnica/rok</t>
  </si>
  <si>
    <t xml:space="preserve">Položka</t>
  </si>
  <si>
    <t xml:space="preserve">Výpočet</t>
  </si>
  <si>
    <t xml:space="preserve">EUR/rok</t>
  </si>
  <si>
    <t xml:space="preserve">Poznámka</t>
  </si>
  <si>
    <t xml:space="preserve">VÝNOSY</t>
  </si>
  <si>
    <t xml:space="preserve">Mlieko (360 ks × 6 000 L × 0,75 €)</t>
  </si>
  <si>
    <t xml:space="preserve">Hlavný revenue stream</t>
  </si>
  <si>
    <t xml:space="preserve">Predaj surplus jalovíc (~73 ks × 2 400 €)</t>
  </si>
  <si>
    <t xml:space="preserve">Cez sexed semeno na top 60 %</t>
  </si>
  <si>
    <t xml:space="preserve">Predaj teľatá beef-cross + bull (~137 ks × 220 €)</t>
  </si>
  <si>
    <t xml:space="preserve">Predaj 14-21 dní</t>
  </si>
  <si>
    <t xml:space="preserve">Predaj cull cows (90 ks × 700 €)</t>
  </si>
  <si>
    <t xml:space="preserve">25 % cull rate ročne</t>
  </si>
  <si>
    <t xml:space="preserve">Eko-platby (heumilch + bio + carbon, 750 ha × 180 €)</t>
  </si>
  <si>
    <t xml:space="preserve">PRV + EÚ + carbon</t>
  </si>
  <si>
    <t xml:space="preserve">→ VÝNOSY SPOLU</t>
  </si>
  <si>
    <t xml:space="preserve">PREVÁDZKOVÉ NÁKLADY (OPEX)</t>
  </si>
  <si>
    <t xml:space="preserve">Heumilch + vlastné seno</t>
  </si>
  <si>
    <t xml:space="preserve">Veterina, lieky, plemenárstvo (sexed AI)</t>
  </si>
  <si>
    <t xml:space="preserve">Cca 220 €/dojnica</t>
  </si>
  <si>
    <t xml:space="preserve">Stelivo, hygiena</t>
  </si>
  <si>
    <t xml:space="preserve">Lely + cooling tank</t>
  </si>
  <si>
    <t xml:space="preserve">Opravy a údržba (mimo Lely)</t>
  </si>
  <si>
    <t xml:space="preserve">Lely full-service kontrakty (6 robotov)</t>
  </si>
  <si>
    <t xml:space="preserve">Plné servisné pokrytie</t>
  </si>
  <si>
    <t xml:space="preserve">Odchov jalovíc (90 replacement × 1 300 €)</t>
  </si>
  <si>
    <t xml:space="preserve">0→prvôstka</t>
  </si>
  <si>
    <t xml:space="preserve">MZDY</t>
  </si>
  <si>
    <t xml:space="preserve">Farm manager / hlavný zootechnik</t>
  </si>
  <si>
    <t xml:space="preserve">Ošetrovatelia (3,5 FTE)</t>
  </si>
  <si>
    <t xml:space="preserve">Lely Astronaut šetrí 50 % práce</t>
  </si>
  <si>
    <t xml:space="preserve">Sync s SAN Trading</t>
  </si>
  <si>
    <t xml:space="preserve">Critical pre pipeline</t>
  </si>
  <si>
    <t xml:space="preserve">FIXNÉ NÁKLADY</t>
  </si>
  <si>
    <t xml:space="preserve">Poistenie</t>
  </si>
  <si>
    <t xml:space="preserve">Administrácia, certifikácie (bio + heumilch)</t>
  </si>
  <si>
    <t xml:space="preserve">Marketing, vzťah s talianskym odberateľom</t>
  </si>
  <si>
    <t xml:space="preserve">Účtovníctvo, právo, poradenstvo</t>
  </si>
  <si>
    <t xml:space="preserve">→ NÁKLADY SPOLU (OPEX)</t>
  </si>
  <si>
    <t xml:space="preserve">EBITDA</t>
  </si>
  <si>
    <t xml:space="preserve">EBITDA marža</t>
  </si>
  <si>
    <t xml:space="preserve">EBITDA na dojnicu</t>
  </si>
  <si>
    <t xml:space="preserve">POZNÁMKA: Toto je P&amp;L pri base scenári (cena 0,75 €/L). Pre citlivosť pozri list 6_Citlivost.</t>
  </si>
  <si>
    <t xml:space="preserve">CAPEX — Fázovanie investícií 2026-2029</t>
  </si>
  <si>
    <t xml:space="preserve">Maštaľ stavaná naraz pre 360 ks (cheaper than expansion); roboti, stádo a infraštruktúra fázované</t>
  </si>
  <si>
    <t xml:space="preserve">POLOŽKA</t>
  </si>
  <si>
    <t xml:space="preserve">SPOLU</t>
  </si>
  <si>
    <t xml:space="preserve">% z celku</t>
  </si>
  <si>
    <t xml:space="preserve">Y0 Stavba</t>
  </si>
  <si>
    <t xml:space="preserve">Y1 Vlna 1</t>
  </si>
  <si>
    <t xml:space="preserve">Y2 Vlna 2</t>
  </si>
  <si>
    <t xml:space="preserve">Y3 Vlna 3</t>
  </si>
  <si>
    <t xml:space="preserve">STAVBY A INFRAŠTRUKTÚRA</t>
  </si>
  <si>
    <t xml:space="preserve">Maštaľ free-stall (full 360 ks od začiatku)</t>
  </si>
  <si>
    <t xml:space="preserve">Stavebne lacnejšie naraz</t>
  </si>
  <si>
    <t xml:space="preserve">Skladovacia kapacita sena (heumilch 3-4× viac)</t>
  </si>
  <si>
    <t xml:space="preserve">Heumilch špecifická požiadavka</t>
  </si>
  <si>
    <t xml:space="preserve">Hnojisko, jamy, manure handling (kapacita 6m)</t>
  </si>
  <si>
    <t xml:space="preserve">Slovenská legislatíva</t>
  </si>
  <si>
    <t xml:space="preserve">Bulk tank pre cisternu Taliansko</t>
  </si>
  <si>
    <t xml:space="preserve">Pasture access pre rotáciu</t>
  </si>
  <si>
    <t xml:space="preserve">Y0+Y1 (1. teľatá Y1)</t>
  </si>
  <si>
    <t xml:space="preserve">→ Stavby spolu</t>
  </si>
  <si>
    <t xml:space="preserve">ROBOTI LELY</t>
  </si>
  <si>
    <t xml:space="preserve">Lely Astronaut A5 (2 + 2 + 2)</t>
  </si>
  <si>
    <t xml:space="preserve">Inštalácia matchuje vlny stáda</t>
  </si>
  <si>
    <t xml:space="preserve">→ Roboti spolu</t>
  </si>
  <si>
    <t xml:space="preserve">ZVIERATÁ (importy)</t>
  </si>
  <si>
    <t xml:space="preserve">Vysokoteľné jalovice (Wave 1: 80, W2: 80, W3: 70)</t>
  </si>
  <si>
    <t xml:space="preserve">Dánsky landed cost</t>
  </si>
  <si>
    <t xml:space="preserve">Open jalovice 12-15m (W1: 50, W2: 50, W3: 30)</t>
  </si>
  <si>
    <t xml:space="preserve">Lacnejšie, lepšia adaptácia heumilch</t>
  </si>
  <si>
    <t xml:space="preserve">→ Zvieratá spolu</t>
  </si>
  <si>
    <t xml:space="preserve">OSTATNÉ</t>
  </si>
  <si>
    <t xml:space="preserve">Engineering, povolenia, contingency (12 % z hard CAPEX)</t>
  </si>
  <si>
    <t xml:space="preserve">% z hard + roboti</t>
  </si>
  <si>
    <t xml:space="preserve">→ CAPEX SPOLU V ROKU</t>
  </si>
  <si>
    <t xml:space="preserve">Kumulatívny CAPEX</t>
  </si>
  <si>
    <t xml:space="preserve">CITLIVOSTNÁ MATICA — Cena mlieka × Úžitkovosť</t>
  </si>
  <si>
    <t xml:space="preserve">Pri 360 dojnicových steady-state. Žltá = base scenár, červená = strata, zelená = silný EBITDA</t>
  </si>
  <si>
    <t xml:space="preserve">MATICA 1: ROČNÝ EBITDA (k€)</t>
  </si>
  <si>
    <t xml:space="preserve">Cena (€/L) ↓ / Yield (L/ks/rok) →</t>
  </si>
  <si>
    <t xml:space="preserve">→ BASE scenár (žltá): 0,75 €/L × 6 000 L → ~1 182 k€ EBITDA pri komplexnom revenue stack</t>
  </si>
  <si>
    <t xml:space="preserve">MATICA 2: EBITDA MARŽA (%)</t>
  </si>
  <si>
    <t xml:space="preserve">Cena (€/L) ↓ / Yield →</t>
  </si>
  <si>
    <t xml:space="preserve">MATICA 3: SIMPLE PAYBACK CAPEX (rokov)</t>
  </si>
  <si>
    <t xml:space="preserve">KĽÚČOVÉ ZISTENIA</t>
  </si>
  <si>
    <t xml:space="preserve">🔴 Pod 0,65 €/L (raw milk komodita+) je projekt ekonomicky stratový — nutný prémiový kanál</t>
  </si>
  <si>
    <t xml:space="preserve">POZOR: Matica zobrazuje STEADY-STATE EBITDA (Y5+), nie cumulative cashflow počas build-up</t>
  </si>
  <si>
    <t xml:space="preserve">Reálny cashflow payback ~8-10 rokov od štartu (build-up Y1-Y4 generuje malé EBITDA)</t>
  </si>
  <si>
    <t xml:space="preserve">📊 Steady-state ekonomika (po 360 dojníc):</t>
  </si>
  <si>
    <t xml:space="preserve">   • Pod 0,55 €/L × 5 000 L: EBITDA ~552 k€ (stále zisk vďaka surplus jalovíc + eco)</t>
  </si>
  <si>
    <t xml:space="preserve">   • BASE 0,75 €/L × 6 000 L: EBITDA ~1 182 k€, marža 58 %, payback CAPEX ~5,7 rokov</t>
  </si>
  <si>
    <t xml:space="preserve">   • Premium 0,90 €/L × 6 500 L: EBITDA ~1 480 k€, payback ~4,5 rokov</t>
  </si>
  <si>
    <t xml:space="preserve">   • Forward integration 1,15 €/L: EBITDA ~2 050 k€, payback ~3,3 rokov</t>
  </si>
  <si>
    <t xml:space="preserve">💎 Prečo je base scenár taký dobrý? Surplus jalovice (175 k€/rok) + eco platby (135 k€) +</t>
  </si>
  <si>
    <t xml:space="preserve">   cull cows (63 k€) + telce (30 k€) prinášajú spolu ~403 k€/rok side revenue na top</t>
  </si>
  <si>
    <t xml:space="preserve">   line, čo nezávisí od ceny mlieka. Toto je kľúčové pre stabilitu modelu.</t>
  </si>
  <si>
    <t xml:space="preserve">⚠️  RIZIKÁ TOHTO MODELU (čo treba sanity-checkovať):</t>
  </si>
  <si>
    <t xml:space="preserve">   • Surplus jalovice za 2 400 € predpokladá funkčný trh s premium genetikou</t>
  </si>
  <si>
    <t xml:space="preserve">   • Eco platby 180 €/ha vyžadujú schválenie heumilch + bio + možný carbon</t>
  </si>
  <si>
    <t xml:space="preserve">   • Cull cow cena 700 € je optimistická pri Slovenských podmienkach (môže byť 500-600)</t>
  </si>
  <si>
    <t xml:space="preserve">   • OPEX 841 k€ nezahŕňa mzdy stavebných robotníkov, prevádzku počas build-up</t>
  </si>
  <si>
    <t xml:space="preserve">🎯 STRATEGICKÉ ROZHODNUTIA:</t>
  </si>
  <si>
    <t xml:space="preserve">   • Pri raw milk B2B 0,70-0,80 €/L (realistické cieľové pásmo) je projekt ekonomicky zdravý</t>
  </si>
  <si>
    <t xml:space="preserve">   • Forward integration (cagliata/mozzarella vlastná značka) zdvíha EBITDA o 30-50 %</t>
  </si>
  <si>
    <t xml:space="preserve">   • Surplus jalovica revenue je critical — bez sexed semen stratégie projekt slabne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</si>
</sst>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;\(#,##0\);\-"/>
    <numFmt numFmtId="166" formatCode="0.0%"/>
    <numFmt numFmtId="167" formatCode="#,##0.00&quot; €&quot;;\(#,##0.00&quot; €)&quot;;\-"/>
    <numFmt numFmtId="168" formatCode="#,##0&quot; €&quot;;\(#,##0&quot; €)&quot;;\-"/>
    <numFmt numFmtId="169" formatCode="0.0"/>
    <numFmt numFmtId="170" formatCode="#,##0,&quot; k€&quot;;\(#,##0,&quot; k€)&quot;;\-"/>
    <numFmt numFmtId="171" formatCode="#,##0.0,&quot; M€&quot;;\(#,##0.0,&quot; M€)&quot;;\-"/>
    <numFmt numFmtId="172" formatCode="0.0&quot; rok.&quot;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i val="true"/>
      <sz val="9"/>
      <color rgb="FF595959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2E75B6"/>
      <name val="Arial"/>
      <family val="0"/>
      <charset val="1"/>
    </font>
    <font>
      <i val="true"/>
      <sz val="9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FFFFFF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F4E78"/>
        <bgColor rgb="FF305496"/>
      </patternFill>
    </fill>
    <fill>
      <patternFill patternType="solid">
        <fgColor rgb="FF2E75B6"/>
        <bgColor rgb="FF305496"/>
      </patternFill>
    </fill>
    <fill>
      <patternFill patternType="solid">
        <fgColor rgb="FFFFF2CC"/>
        <bgColor rgb="FFFCE4D6"/>
      </patternFill>
    </fill>
    <fill>
      <patternFill patternType="solid">
        <fgColor rgb="FFE2EFDA"/>
        <bgColor rgb="FFDDEBF7"/>
      </patternFill>
    </fill>
    <fill>
      <patternFill patternType="solid">
        <fgColor rgb="FFDDEBF7"/>
        <bgColor rgb="FFE2EFDA"/>
      </patternFill>
    </fill>
    <fill>
      <patternFill patternType="solid">
        <fgColor rgb="FF305496"/>
        <bgColor rgb="FF1F4E78"/>
      </patternFill>
    </fill>
    <fill>
      <patternFill patternType="solid">
        <fgColor rgb="FF375623"/>
        <bgColor rgb="FF595959"/>
      </patternFill>
    </fill>
    <fill>
      <patternFill patternType="solid">
        <fgColor rgb="FFFCE4D6"/>
        <bgColor rgb="FFFFF2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medium">
        <color rgb="FF305496"/>
      </left>
      <right style="medium">
        <color rgb="FF305496"/>
      </right>
      <top style="medium">
        <color rgb="FF305496"/>
      </top>
      <bottom style="medium">
        <color rgb="FF30549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8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8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8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8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8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8" fillId="4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1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1" fillId="8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4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5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8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6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6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9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1" fontId="6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7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16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6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2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9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DD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CE4D6"/>
      <rgbColor rgb="FF2E75B6"/>
      <rgbColor rgb="FF33CCCC"/>
      <rgbColor rgb="FF99CC00"/>
      <rgbColor rgb="FFFFCC00"/>
      <rgbColor rgb="FFFF9900"/>
      <rgbColor rgb="FFFF6600"/>
      <rgbColor rgb="FF595959"/>
      <rgbColor rgb="FF969696"/>
      <rgbColor rgb="FF1F4E78"/>
      <rgbColor rgb="FF339966"/>
      <rgbColor rgb="FF003300"/>
      <rgbColor rgb="FF333300"/>
      <rgbColor rgb="FF993300"/>
      <rgbColor rgb="FF993366"/>
      <rgbColor rgb="FF305496"/>
      <rgbColor rgb="FF37562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6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5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5" min="5" style="1" width="60"/>
  </cols>
  <sheetData>
    <row r="1" customFormat="false" ht="27.75" hidden="false" customHeight="true" outlineLevel="0" collapsed="false">
      <c r="B1" s="2" t="s">
        <v>0</v>
      </c>
      <c r="C1" s="2"/>
      <c r="D1" s="2"/>
      <c r="E1" s="2"/>
    </row>
    <row r="2" customFormat="false" ht="15" hidden="false" customHeight="true" outlineLevel="0" collapsed="false">
      <c r="B2" s="3" t="s">
        <v>1</v>
      </c>
      <c r="C2" s="3"/>
      <c r="D2" s="3"/>
      <c r="E2" s="3"/>
    </row>
    <row r="4" customFormat="false" ht="21.75" hidden="false" customHeight="true" outlineLevel="0" collapsed="false">
      <c r="B4" s="4" t="s">
        <v>2</v>
      </c>
      <c r="C4" s="4"/>
      <c r="D4" s="4"/>
      <c r="E4" s="4"/>
    </row>
    <row r="5" customFormat="false" ht="15" hidden="false" customHeight="true" outlineLevel="0" collapsed="false">
      <c r="B5" s="5" t="s">
        <v>3</v>
      </c>
      <c r="C5" s="6" t="n">
        <v>360</v>
      </c>
      <c r="D5" s="7" t="s">
        <v>4</v>
      </c>
      <c r="E5" s="7" t="s">
        <v>5</v>
      </c>
    </row>
    <row r="6" customFormat="false" ht="15" hidden="false" customHeight="true" outlineLevel="0" collapsed="false">
      <c r="B6" s="5" t="s">
        <v>6</v>
      </c>
      <c r="C6" s="6" t="n">
        <v>6</v>
      </c>
      <c r="D6" s="7" t="s">
        <v>4</v>
      </c>
      <c r="E6" s="7" t="s">
        <v>7</v>
      </c>
    </row>
    <row r="7" customFormat="false" ht="15" hidden="false" customHeight="true" outlineLevel="0" collapsed="false">
      <c r="B7" s="5" t="s">
        <v>8</v>
      </c>
      <c r="C7" s="6" t="n">
        <v>60</v>
      </c>
      <c r="D7" s="7" t="s">
        <v>4</v>
      </c>
      <c r="E7" s="7" t="s">
        <v>9</v>
      </c>
    </row>
    <row r="8" customFormat="false" ht="15" hidden="false" customHeight="true" outlineLevel="0" collapsed="false">
      <c r="B8" s="5" t="s">
        <v>10</v>
      </c>
      <c r="C8" s="8" t="n">
        <v>0.17</v>
      </c>
      <c r="D8" s="7"/>
      <c r="E8" s="7" t="s">
        <v>11</v>
      </c>
    </row>
    <row r="9" customFormat="false" ht="15" hidden="false" customHeight="true" outlineLevel="0" collapsed="false">
      <c r="B9" s="5" t="s">
        <v>12</v>
      </c>
      <c r="C9" s="8" t="n">
        <v>0.25</v>
      </c>
      <c r="D9" s="7" t="s">
        <v>13</v>
      </c>
      <c r="E9" s="7" t="s">
        <v>14</v>
      </c>
    </row>
    <row r="10" customFormat="false" ht="15" hidden="false" customHeight="true" outlineLevel="0" collapsed="false">
      <c r="B10" s="5" t="s">
        <v>15</v>
      </c>
      <c r="C10" s="6" t="n">
        <v>23</v>
      </c>
      <c r="D10" s="7" t="s">
        <v>16</v>
      </c>
      <c r="E10" s="7" t="s">
        <v>17</v>
      </c>
    </row>
    <row r="12" customFormat="false" ht="21.75" hidden="false" customHeight="true" outlineLevel="0" collapsed="false">
      <c r="B12" s="4" t="s">
        <v>18</v>
      </c>
      <c r="C12" s="4"/>
      <c r="D12" s="4"/>
      <c r="E12" s="4"/>
    </row>
    <row r="13" customFormat="false" ht="15" hidden="false" customHeight="true" outlineLevel="0" collapsed="false">
      <c r="B13" s="5" t="s">
        <v>19</v>
      </c>
      <c r="C13" s="6" t="n">
        <v>6000</v>
      </c>
      <c r="D13" s="7" t="s">
        <v>20</v>
      </c>
      <c r="E13" s="7" t="s">
        <v>21</v>
      </c>
    </row>
    <row r="14" customFormat="false" ht="15" hidden="false" customHeight="true" outlineLevel="0" collapsed="false">
      <c r="B14" s="5" t="s">
        <v>22</v>
      </c>
      <c r="C14" s="8" t="n">
        <v>0.055</v>
      </c>
      <c r="D14" s="7"/>
      <c r="E14" s="7" t="s">
        <v>23</v>
      </c>
    </row>
    <row r="15" customFormat="false" ht="15" hidden="false" customHeight="true" outlineLevel="0" collapsed="false">
      <c r="B15" s="5" t="s">
        <v>24</v>
      </c>
      <c r="C15" s="8" t="n">
        <v>0.04</v>
      </c>
      <c r="D15" s="7"/>
      <c r="E15" s="7" t="s">
        <v>25</v>
      </c>
    </row>
    <row r="16" customFormat="false" ht="15" hidden="false" customHeight="true" outlineLevel="0" collapsed="false">
      <c r="B16" s="5" t="s">
        <v>26</v>
      </c>
      <c r="C16" s="6" t="n">
        <v>305</v>
      </c>
      <c r="D16" s="7" t="s">
        <v>27</v>
      </c>
      <c r="E16" s="7" t="s">
        <v>28</v>
      </c>
    </row>
    <row r="17" customFormat="false" ht="15" hidden="false" customHeight="true" outlineLevel="0" collapsed="false">
      <c r="B17" s="5" t="s">
        <v>29</v>
      </c>
      <c r="C17" s="6" t="n">
        <v>60</v>
      </c>
      <c r="D17" s="7" t="s">
        <v>27</v>
      </c>
      <c r="E17" s="7" t="s">
        <v>30</v>
      </c>
    </row>
    <row r="18" customFormat="false" ht="15" hidden="false" customHeight="true" outlineLevel="0" collapsed="false">
      <c r="B18" s="5" t="s">
        <v>31</v>
      </c>
      <c r="C18" s="6" t="n">
        <v>380</v>
      </c>
      <c r="D18" s="7" t="s">
        <v>27</v>
      </c>
      <c r="E18" s="7" t="s">
        <v>32</v>
      </c>
    </row>
    <row r="20" customFormat="false" ht="21.75" hidden="false" customHeight="true" outlineLevel="0" collapsed="false">
      <c r="B20" s="4" t="s">
        <v>33</v>
      </c>
      <c r="C20" s="4"/>
      <c r="D20" s="4"/>
      <c r="E20" s="4"/>
    </row>
    <row r="21" customFormat="false" ht="15" hidden="false" customHeight="true" outlineLevel="0" collapsed="false">
      <c r="B21" s="5" t="s">
        <v>34</v>
      </c>
      <c r="C21" s="9" t="n">
        <v>0.4</v>
      </c>
      <c r="D21" s="7" t="s">
        <v>35</v>
      </c>
      <c r="E21" s="7" t="s">
        <v>36</v>
      </c>
    </row>
    <row r="22" customFormat="false" ht="15" hidden="false" customHeight="true" outlineLevel="0" collapsed="false">
      <c r="B22" s="5" t="s">
        <v>37</v>
      </c>
      <c r="C22" s="9" t="n">
        <v>0.07</v>
      </c>
      <c r="D22" s="7" t="s">
        <v>35</v>
      </c>
      <c r="E22" s="7" t="s">
        <v>38</v>
      </c>
    </row>
    <row r="23" customFormat="false" ht="15" hidden="false" customHeight="true" outlineLevel="0" collapsed="false">
      <c r="B23" s="5" t="s">
        <v>39</v>
      </c>
      <c r="C23" s="9" t="n">
        <v>0.05</v>
      </c>
      <c r="D23" s="7" t="s">
        <v>35</v>
      </c>
      <c r="E23" s="7" t="s">
        <v>40</v>
      </c>
    </row>
    <row r="24" customFormat="false" ht="15" hidden="false" customHeight="true" outlineLevel="0" collapsed="false">
      <c r="B24" s="5" t="s">
        <v>41</v>
      </c>
      <c r="C24" s="9" t="n">
        <v>0.12</v>
      </c>
      <c r="D24" s="7" t="s">
        <v>35</v>
      </c>
      <c r="E24" s="7" t="s">
        <v>42</v>
      </c>
    </row>
    <row r="25" customFormat="false" ht="15" hidden="false" customHeight="true" outlineLevel="0" collapsed="false">
      <c r="B25" s="5" t="s">
        <v>43</v>
      </c>
      <c r="C25" s="9" t="n">
        <v>0.04</v>
      </c>
      <c r="D25" s="7" t="s">
        <v>35</v>
      </c>
      <c r="E25" s="7" t="s">
        <v>44</v>
      </c>
    </row>
    <row r="26" customFormat="false" ht="15" hidden="false" customHeight="true" outlineLevel="0" collapsed="false">
      <c r="B26" s="5" t="s">
        <v>45</v>
      </c>
      <c r="C26" s="9" t="n">
        <v>0.07</v>
      </c>
      <c r="D26" s="7" t="s">
        <v>35</v>
      </c>
      <c r="E26" s="7" t="s">
        <v>46</v>
      </c>
    </row>
    <row r="27" customFormat="false" ht="15" hidden="false" customHeight="true" outlineLevel="0" collapsed="false">
      <c r="B27" s="10" t="s">
        <v>47</v>
      </c>
      <c r="C27" s="11" t="n">
        <f aca="false">SUM(C21:C26)</f>
        <v>0.75</v>
      </c>
      <c r="D27" s="1" t="s">
        <v>35</v>
      </c>
      <c r="E27" s="7" t="s">
        <v>48</v>
      </c>
    </row>
    <row r="29" customFormat="false" ht="21.75" hidden="false" customHeight="true" outlineLevel="0" collapsed="false">
      <c r="B29" s="4" t="s">
        <v>49</v>
      </c>
      <c r="C29" s="4"/>
      <c r="D29" s="4"/>
      <c r="E29" s="4"/>
    </row>
    <row r="30" customFormat="false" ht="15" hidden="false" customHeight="true" outlineLevel="0" collapsed="false">
      <c r="B30" s="5" t="s">
        <v>50</v>
      </c>
      <c r="C30" s="12" t="n">
        <v>220</v>
      </c>
      <c r="D30" s="7" t="s">
        <v>51</v>
      </c>
      <c r="E30" s="7" t="s">
        <v>52</v>
      </c>
    </row>
    <row r="31" customFormat="false" ht="15" hidden="false" customHeight="true" outlineLevel="0" collapsed="false">
      <c r="B31" s="5" t="s">
        <v>53</v>
      </c>
      <c r="C31" s="12" t="n">
        <v>700</v>
      </c>
      <c r="D31" s="7" t="s">
        <v>51</v>
      </c>
      <c r="E31" s="7" t="s">
        <v>54</v>
      </c>
    </row>
    <row r="32" customFormat="false" ht="15" hidden="false" customHeight="true" outlineLevel="0" collapsed="false">
      <c r="B32" s="5" t="s">
        <v>55</v>
      </c>
      <c r="C32" s="12" t="n">
        <v>2400</v>
      </c>
      <c r="D32" s="7" t="s">
        <v>51</v>
      </c>
      <c r="E32" s="7" t="s">
        <v>56</v>
      </c>
    </row>
    <row r="33" customFormat="false" ht="15" hidden="false" customHeight="true" outlineLevel="0" collapsed="false">
      <c r="B33" s="5" t="s">
        <v>57</v>
      </c>
      <c r="C33" s="12" t="n">
        <v>180</v>
      </c>
      <c r="D33" s="7" t="s">
        <v>58</v>
      </c>
      <c r="E33" s="7" t="s">
        <v>59</v>
      </c>
    </row>
    <row r="34" customFormat="false" ht="15" hidden="false" customHeight="true" outlineLevel="0" collapsed="false">
      <c r="B34" s="5" t="s">
        <v>60</v>
      </c>
      <c r="C34" s="6" t="n">
        <v>750</v>
      </c>
      <c r="D34" s="7" t="s">
        <v>61</v>
      </c>
      <c r="E34" s="7" t="s">
        <v>62</v>
      </c>
    </row>
    <row r="36" customFormat="false" ht="21.75" hidden="false" customHeight="true" outlineLevel="0" collapsed="false">
      <c r="B36" s="4" t="s">
        <v>63</v>
      </c>
      <c r="C36" s="4"/>
      <c r="D36" s="4"/>
      <c r="E36" s="4"/>
    </row>
    <row r="37" customFormat="false" ht="15" hidden="false" customHeight="true" outlineLevel="0" collapsed="false">
      <c r="B37" s="5" t="s">
        <v>64</v>
      </c>
      <c r="C37" s="12" t="n">
        <v>580</v>
      </c>
      <c r="D37" s="7" t="s">
        <v>65</v>
      </c>
      <c r="E37" s="7" t="s">
        <v>66</v>
      </c>
    </row>
    <row r="38" customFormat="false" ht="15" hidden="false" customHeight="true" outlineLevel="0" collapsed="false">
      <c r="B38" s="5" t="s">
        <v>67</v>
      </c>
      <c r="C38" s="12" t="n">
        <v>220</v>
      </c>
      <c r="D38" s="7" t="s">
        <v>65</v>
      </c>
      <c r="E38" s="7" t="s">
        <v>68</v>
      </c>
    </row>
    <row r="39" customFormat="false" ht="15" hidden="false" customHeight="true" outlineLevel="0" collapsed="false">
      <c r="B39" s="5" t="s">
        <v>69</v>
      </c>
      <c r="C39" s="12" t="n">
        <v>160</v>
      </c>
      <c r="D39" s="7" t="s">
        <v>65</v>
      </c>
      <c r="E39" s="7" t="s">
        <v>70</v>
      </c>
    </row>
    <row r="40" customFormat="false" ht="15" hidden="false" customHeight="true" outlineLevel="0" collapsed="false">
      <c r="B40" s="5" t="s">
        <v>71</v>
      </c>
      <c r="C40" s="12" t="n">
        <v>140</v>
      </c>
      <c r="D40" s="7" t="s">
        <v>65</v>
      </c>
      <c r="E40" s="7" t="s">
        <v>72</v>
      </c>
    </row>
    <row r="41" customFormat="false" ht="15" hidden="false" customHeight="true" outlineLevel="0" collapsed="false">
      <c r="B41" s="5" t="s">
        <v>73</v>
      </c>
      <c r="C41" s="12" t="n">
        <v>110</v>
      </c>
      <c r="D41" s="7" t="s">
        <v>65</v>
      </c>
      <c r="E41" s="7" t="s">
        <v>74</v>
      </c>
    </row>
    <row r="42" customFormat="false" ht="15" hidden="false" customHeight="true" outlineLevel="0" collapsed="false">
      <c r="B42" s="5" t="s">
        <v>75</v>
      </c>
      <c r="C42" s="12" t="n">
        <v>8500</v>
      </c>
      <c r="D42" s="7" t="s">
        <v>76</v>
      </c>
      <c r="E42" s="7" t="s">
        <v>77</v>
      </c>
    </row>
    <row r="43" customFormat="false" ht="15" hidden="false" customHeight="true" outlineLevel="0" collapsed="false">
      <c r="B43" s="5" t="s">
        <v>78</v>
      </c>
      <c r="C43" s="12" t="n">
        <v>1300</v>
      </c>
      <c r="D43" s="7" t="s">
        <v>51</v>
      </c>
      <c r="E43" s="7" t="s">
        <v>79</v>
      </c>
    </row>
    <row r="45" customFormat="false" ht="21.75" hidden="false" customHeight="true" outlineLevel="0" collapsed="false">
      <c r="B45" s="4" t="s">
        <v>80</v>
      </c>
      <c r="C45" s="4"/>
      <c r="D45" s="4"/>
      <c r="E45" s="4"/>
    </row>
    <row r="46" customFormat="false" ht="15" hidden="false" customHeight="true" outlineLevel="0" collapsed="false">
      <c r="B46" s="5" t="s">
        <v>81</v>
      </c>
      <c r="C46" s="12" t="n">
        <v>48000</v>
      </c>
      <c r="D46" s="7" t="s">
        <v>82</v>
      </c>
      <c r="E46" s="7" t="s">
        <v>83</v>
      </c>
    </row>
    <row r="47" customFormat="false" ht="15" hidden="false" customHeight="true" outlineLevel="0" collapsed="false">
      <c r="B47" s="5" t="s">
        <v>84</v>
      </c>
      <c r="C47" s="12" t="n">
        <v>28000</v>
      </c>
      <c r="D47" s="7" t="s">
        <v>82</v>
      </c>
      <c r="E47" s="7" t="s">
        <v>85</v>
      </c>
    </row>
    <row r="48" customFormat="false" ht="15" hidden="false" customHeight="true" outlineLevel="0" collapsed="false">
      <c r="B48" s="5" t="s">
        <v>86</v>
      </c>
      <c r="C48" s="13" t="n">
        <v>3.5</v>
      </c>
      <c r="D48" s="7" t="s">
        <v>87</v>
      </c>
      <c r="E48" s="7" t="s">
        <v>88</v>
      </c>
    </row>
    <row r="49" customFormat="false" ht="15" hidden="false" customHeight="true" outlineLevel="0" collapsed="false">
      <c r="B49" s="5" t="s">
        <v>89</v>
      </c>
      <c r="C49" s="12" t="n">
        <v>30000</v>
      </c>
      <c r="D49" s="7" t="s">
        <v>82</v>
      </c>
      <c r="E49" s="7" t="s">
        <v>90</v>
      </c>
    </row>
    <row r="50" customFormat="false" ht="15" hidden="false" customHeight="true" outlineLevel="0" collapsed="false">
      <c r="B50" s="5" t="s">
        <v>91</v>
      </c>
      <c r="C50" s="12" t="n">
        <v>26000</v>
      </c>
      <c r="D50" s="7" t="s">
        <v>82</v>
      </c>
      <c r="E50" s="7" t="s">
        <v>92</v>
      </c>
    </row>
    <row r="51" customFormat="false" ht="15" hidden="false" customHeight="true" outlineLevel="0" collapsed="false">
      <c r="B51" s="5" t="s">
        <v>93</v>
      </c>
      <c r="C51" s="8" t="n">
        <v>0.352</v>
      </c>
      <c r="D51" s="7"/>
      <c r="E51" s="7" t="s">
        <v>94</v>
      </c>
    </row>
    <row r="53" customFormat="false" ht="21.75" hidden="false" customHeight="true" outlineLevel="0" collapsed="false">
      <c r="B53" s="4" t="s">
        <v>95</v>
      </c>
      <c r="C53" s="4"/>
      <c r="D53" s="4"/>
      <c r="E53" s="4"/>
    </row>
    <row r="54" customFormat="false" ht="15" hidden="false" customHeight="true" outlineLevel="0" collapsed="false">
      <c r="B54" s="5" t="s">
        <v>96</v>
      </c>
      <c r="C54" s="12" t="n">
        <v>45000</v>
      </c>
      <c r="D54" s="7" t="s">
        <v>97</v>
      </c>
      <c r="E54" s="7" t="s">
        <v>98</v>
      </c>
    </row>
    <row r="55" customFormat="false" ht="15" hidden="false" customHeight="true" outlineLevel="0" collapsed="false">
      <c r="B55" s="5" t="s">
        <v>99</v>
      </c>
      <c r="C55" s="12" t="n">
        <v>35000</v>
      </c>
      <c r="D55" s="7" t="s">
        <v>97</v>
      </c>
      <c r="E55" s="7" t="s">
        <v>100</v>
      </c>
    </row>
    <row r="56" customFormat="false" ht="15" hidden="false" customHeight="true" outlineLevel="0" collapsed="false">
      <c r="B56" s="5" t="s">
        <v>101</v>
      </c>
      <c r="C56" s="12" t="n">
        <v>25000</v>
      </c>
      <c r="D56" s="7" t="s">
        <v>97</v>
      </c>
      <c r="E56" s="7" t="s">
        <v>102</v>
      </c>
    </row>
    <row r="57" customFormat="false" ht="15" hidden="false" customHeight="true" outlineLevel="0" collapsed="false">
      <c r="B57" s="5" t="s">
        <v>103</v>
      </c>
      <c r="C57" s="12" t="n">
        <v>30000</v>
      </c>
      <c r="D57" s="7" t="s">
        <v>97</v>
      </c>
      <c r="E57" s="7" t="s">
        <v>104</v>
      </c>
    </row>
    <row r="59" customFormat="false" ht="21.75" hidden="false" customHeight="true" outlineLevel="0" collapsed="false">
      <c r="B59" s="4" t="s">
        <v>105</v>
      </c>
      <c r="C59" s="4"/>
      <c r="D59" s="4"/>
      <c r="E59" s="4"/>
    </row>
    <row r="60" customFormat="false" ht="15" hidden="false" customHeight="true" outlineLevel="0" collapsed="false">
      <c r="B60" s="5" t="s">
        <v>106</v>
      </c>
      <c r="C60" s="12" t="n">
        <v>3500</v>
      </c>
      <c r="D60" s="7" t="s">
        <v>51</v>
      </c>
      <c r="E60" s="7" t="s">
        <v>107</v>
      </c>
    </row>
    <row r="61" customFormat="false" ht="15" hidden="false" customHeight="true" outlineLevel="0" collapsed="false">
      <c r="B61" s="5" t="s">
        <v>108</v>
      </c>
      <c r="C61" s="12" t="n">
        <v>1700</v>
      </c>
      <c r="D61" s="7" t="s">
        <v>51</v>
      </c>
      <c r="E61" s="7" t="s">
        <v>109</v>
      </c>
    </row>
    <row r="62" customFormat="false" ht="15" hidden="false" customHeight="true" outlineLevel="0" collapsed="false">
      <c r="B62" s="5" t="s">
        <v>110</v>
      </c>
      <c r="C62" s="12" t="n">
        <v>5000</v>
      </c>
      <c r="D62" s="7" t="s">
        <v>111</v>
      </c>
      <c r="E62" s="7" t="s">
        <v>112</v>
      </c>
    </row>
    <row r="63" customFormat="false" ht="15" hidden="false" customHeight="true" outlineLevel="0" collapsed="false">
      <c r="B63" s="5" t="s">
        <v>113</v>
      </c>
      <c r="C63" s="12" t="n">
        <v>145000</v>
      </c>
      <c r="D63" s="7" t="s">
        <v>51</v>
      </c>
      <c r="E63" s="7" t="s">
        <v>114</v>
      </c>
    </row>
    <row r="64" customFormat="false" ht="15" hidden="false" customHeight="true" outlineLevel="0" collapsed="false">
      <c r="B64" s="5" t="s">
        <v>115</v>
      </c>
      <c r="C64" s="12" t="n">
        <v>700000</v>
      </c>
      <c r="D64" s="7" t="s">
        <v>116</v>
      </c>
      <c r="E64" s="7" t="s">
        <v>117</v>
      </c>
    </row>
    <row r="65" customFormat="false" ht="15" hidden="false" customHeight="true" outlineLevel="0" collapsed="false">
      <c r="B65" s="5" t="s">
        <v>118</v>
      </c>
      <c r="C65" s="12" t="n">
        <v>650000</v>
      </c>
      <c r="D65" s="7" t="s">
        <v>116</v>
      </c>
      <c r="E65" s="7" t="s">
        <v>119</v>
      </c>
    </row>
    <row r="66" customFormat="false" ht="15" hidden="false" customHeight="true" outlineLevel="0" collapsed="false">
      <c r="B66" s="5" t="s">
        <v>120</v>
      </c>
      <c r="C66" s="12" t="n">
        <v>320000</v>
      </c>
      <c r="D66" s="7" t="s">
        <v>116</v>
      </c>
      <c r="E66" s="7" t="s">
        <v>121</v>
      </c>
    </row>
    <row r="67" customFormat="false" ht="15" hidden="false" customHeight="true" outlineLevel="0" collapsed="false">
      <c r="B67" s="5" t="s">
        <v>122</v>
      </c>
      <c r="C67" s="12" t="n">
        <v>280000</v>
      </c>
      <c r="D67" s="7" t="s">
        <v>116</v>
      </c>
      <c r="E67" s="7" t="s">
        <v>123</v>
      </c>
    </row>
    <row r="68" customFormat="false" ht="15" hidden="false" customHeight="true" outlineLevel="0" collapsed="false">
      <c r="B68" s="5" t="s">
        <v>124</v>
      </c>
      <c r="C68" s="12" t="n">
        <v>480000</v>
      </c>
      <c r="D68" s="7" t="s">
        <v>116</v>
      </c>
      <c r="E68" s="7" t="s">
        <v>125</v>
      </c>
    </row>
    <row r="69" customFormat="false" ht="15" hidden="false" customHeight="true" outlineLevel="0" collapsed="false">
      <c r="B69" s="5" t="s">
        <v>126</v>
      </c>
      <c r="C69" s="8" t="n">
        <v>0.12</v>
      </c>
      <c r="D69" s="7"/>
      <c r="E69" s="7" t="s">
        <v>127</v>
      </c>
    </row>
  </sheetData>
  <mergeCells count="10">
    <mergeCell ref="B1:E1"/>
    <mergeCell ref="B2:E2"/>
    <mergeCell ref="B4:E4"/>
    <mergeCell ref="B12:E12"/>
    <mergeCell ref="B20:E20"/>
    <mergeCell ref="B29:E29"/>
    <mergeCell ref="B36:E36"/>
    <mergeCell ref="B45:E45"/>
    <mergeCell ref="B53:E53"/>
    <mergeCell ref="B59:E5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J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2"/>
    <col collapsed="false" customWidth="true" hidden="false" outlineLevel="0" max="10" min="3" style="1" width="13"/>
  </cols>
  <sheetData>
    <row r="1" customFormat="false" ht="27.75" hidden="false" customHeight="true" outlineLevel="0" collapsed="false">
      <c r="B1" s="2" t="s">
        <v>128</v>
      </c>
      <c r="C1" s="2"/>
      <c r="D1" s="2"/>
      <c r="E1" s="2"/>
      <c r="F1" s="2"/>
      <c r="G1" s="2"/>
      <c r="H1" s="2"/>
      <c r="I1" s="2"/>
      <c r="J1" s="2"/>
    </row>
    <row r="2" customFormat="false" ht="15" hidden="false" customHeight="true" outlineLevel="0" collapsed="false">
      <c r="B2" s="3" t="s">
        <v>129</v>
      </c>
      <c r="C2" s="3"/>
      <c r="D2" s="3"/>
      <c r="E2" s="3"/>
      <c r="F2" s="3"/>
      <c r="G2" s="3"/>
      <c r="H2" s="3"/>
      <c r="I2" s="3"/>
      <c r="J2" s="3"/>
    </row>
    <row r="4" customFormat="false" ht="15" hidden="false" customHeight="true" outlineLevel="0" collapsed="false">
      <c r="B4" s="14" t="s">
        <v>130</v>
      </c>
      <c r="C4" s="15" t="s">
        <v>131</v>
      </c>
      <c r="D4" s="15" t="s">
        <v>132</v>
      </c>
      <c r="E4" s="15" t="s">
        <v>133</v>
      </c>
      <c r="F4" s="15" t="s">
        <v>134</v>
      </c>
      <c r="G4" s="15" t="s">
        <v>135</v>
      </c>
      <c r="H4" s="15" t="s">
        <v>136</v>
      </c>
      <c r="I4" s="15" t="s">
        <v>137</v>
      </c>
    </row>
    <row r="5" customFormat="false" ht="15" hidden="false" customHeight="true" outlineLevel="0" collapsed="false">
      <c r="B5" s="14" t="s">
        <v>138</v>
      </c>
      <c r="C5" s="16" t="s">
        <v>139</v>
      </c>
      <c r="D5" s="16" t="s">
        <v>140</v>
      </c>
      <c r="E5" s="16" t="s">
        <v>141</v>
      </c>
      <c r="F5" s="16" t="s">
        <v>142</v>
      </c>
      <c r="G5" s="16" t="s">
        <v>143</v>
      </c>
      <c r="H5" s="16" t="s">
        <v>144</v>
      </c>
      <c r="I5" s="16" t="s">
        <v>144</v>
      </c>
    </row>
    <row r="7" customFormat="false" ht="15" hidden="false" customHeight="true" outlineLevel="0" collapsed="false">
      <c r="B7" s="17" t="s">
        <v>145</v>
      </c>
      <c r="C7" s="17"/>
      <c r="D7" s="17"/>
      <c r="E7" s="17"/>
      <c r="F7" s="17"/>
      <c r="G7" s="17"/>
      <c r="H7" s="17"/>
      <c r="I7" s="17"/>
      <c r="J7" s="17"/>
    </row>
    <row r="8" customFormat="false" ht="15" hidden="false" customHeight="true" outlineLevel="0" collapsed="false">
      <c r="B8" s="5" t="s">
        <v>146</v>
      </c>
      <c r="C8" s="18" t="n">
        <v>0</v>
      </c>
      <c r="D8" s="18" t="n">
        <v>80</v>
      </c>
      <c r="E8" s="18" t="n">
        <v>0</v>
      </c>
      <c r="F8" s="18" t="n">
        <v>0</v>
      </c>
      <c r="G8" s="18" t="n">
        <v>0</v>
      </c>
      <c r="H8" s="18" t="n">
        <v>0</v>
      </c>
      <c r="I8" s="18" t="n">
        <v>0</v>
      </c>
    </row>
    <row r="9" customFormat="false" ht="15" hidden="false" customHeight="true" outlineLevel="0" collapsed="false">
      <c r="B9" s="5" t="s">
        <v>147</v>
      </c>
      <c r="C9" s="18" t="n">
        <v>0</v>
      </c>
      <c r="D9" s="18" t="n">
        <v>50</v>
      </c>
      <c r="E9" s="18" t="n">
        <v>0</v>
      </c>
      <c r="F9" s="18" t="n">
        <v>0</v>
      </c>
      <c r="G9" s="18" t="n">
        <v>0</v>
      </c>
      <c r="H9" s="18" t="n">
        <v>0</v>
      </c>
      <c r="I9" s="18" t="n">
        <v>0</v>
      </c>
    </row>
    <row r="10" customFormat="false" ht="15" hidden="false" customHeight="true" outlineLevel="0" collapsed="false">
      <c r="B10" s="5" t="s">
        <v>148</v>
      </c>
      <c r="C10" s="18" t="n">
        <v>0</v>
      </c>
      <c r="D10" s="18" t="n">
        <v>0</v>
      </c>
      <c r="E10" s="18" t="n">
        <v>80</v>
      </c>
      <c r="F10" s="18" t="n">
        <v>0</v>
      </c>
      <c r="G10" s="18" t="n">
        <v>0</v>
      </c>
      <c r="H10" s="18" t="n">
        <v>0</v>
      </c>
      <c r="I10" s="18" t="n">
        <v>0</v>
      </c>
    </row>
    <row r="11" customFormat="false" ht="15" hidden="false" customHeight="true" outlineLevel="0" collapsed="false">
      <c r="B11" s="5" t="s">
        <v>149</v>
      </c>
      <c r="C11" s="18" t="n">
        <v>0</v>
      </c>
      <c r="D11" s="18" t="n">
        <v>0</v>
      </c>
      <c r="E11" s="18" t="n">
        <v>50</v>
      </c>
      <c r="F11" s="18" t="n">
        <v>0</v>
      </c>
      <c r="G11" s="18" t="n">
        <v>0</v>
      </c>
      <c r="H11" s="18" t="n">
        <v>0</v>
      </c>
      <c r="I11" s="18" t="n">
        <v>0</v>
      </c>
    </row>
    <row r="12" customFormat="false" ht="15" hidden="false" customHeight="true" outlineLevel="0" collapsed="false">
      <c r="B12" s="5" t="s">
        <v>150</v>
      </c>
      <c r="C12" s="18" t="n">
        <v>0</v>
      </c>
      <c r="D12" s="18" t="n">
        <v>0</v>
      </c>
      <c r="E12" s="18" t="n">
        <v>0</v>
      </c>
      <c r="F12" s="18" t="n">
        <v>70</v>
      </c>
      <c r="G12" s="18" t="n">
        <v>0</v>
      </c>
      <c r="H12" s="18" t="n">
        <v>0</v>
      </c>
      <c r="I12" s="18" t="n">
        <v>0</v>
      </c>
    </row>
    <row r="13" customFormat="false" ht="15" hidden="false" customHeight="true" outlineLevel="0" collapsed="false">
      <c r="B13" s="5" t="s">
        <v>151</v>
      </c>
      <c r="C13" s="18" t="n">
        <v>0</v>
      </c>
      <c r="D13" s="18" t="n">
        <v>0</v>
      </c>
      <c r="E13" s="18" t="n">
        <v>0</v>
      </c>
      <c r="F13" s="18" t="n">
        <v>30</v>
      </c>
      <c r="G13" s="18" t="n">
        <v>0</v>
      </c>
      <c r="H13" s="18" t="n">
        <v>0</v>
      </c>
      <c r="I13" s="18" t="n">
        <v>0</v>
      </c>
    </row>
    <row r="14" customFormat="false" ht="15" hidden="false" customHeight="true" outlineLevel="0" collapsed="false">
      <c r="B14" s="19" t="s">
        <v>152</v>
      </c>
      <c r="C14" s="20" t="n">
        <f aca="false">SUM(C8:C13)</f>
        <v>0</v>
      </c>
      <c r="D14" s="20" t="n">
        <f aca="false">SUM(D8:D13)</f>
        <v>130</v>
      </c>
      <c r="E14" s="20" t="n">
        <f aca="false">SUM(E8:E13)</f>
        <v>130</v>
      </c>
      <c r="F14" s="20" t="n">
        <f aca="false">SUM(F8:F13)</f>
        <v>100</v>
      </c>
      <c r="G14" s="20" t="n">
        <f aca="false">SUM(G8:G13)</f>
        <v>0</v>
      </c>
      <c r="H14" s="20" t="n">
        <f aca="false">SUM(H8:H13)</f>
        <v>0</v>
      </c>
      <c r="I14" s="20" t="n">
        <f aca="false">SUM(I8:I13)</f>
        <v>0</v>
      </c>
    </row>
    <row r="15" customFormat="false" ht="15" hidden="false" customHeight="true" outlineLevel="0" collapsed="false">
      <c r="B15" s="5" t="s">
        <v>153</v>
      </c>
      <c r="C15" s="21" t="n">
        <f aca="false">0</f>
        <v>0</v>
      </c>
      <c r="D15" s="21" t="n">
        <f aca="false">C15+(D8+D10+D12)*1_Predpoklady!$C$60+(D9+D11+D13)*1_Predpoklady!$C$61</f>
        <v>365000</v>
      </c>
      <c r="E15" s="21" t="n">
        <f aca="false">D15+(E8+E10+E12)*1_Predpoklady!$C$60+(E9+E11+E13)*1_Predpoklady!$C$61</f>
        <v>730000</v>
      </c>
      <c r="F15" s="21" t="n">
        <f aca="false">E15+(F8+F10+F12)*1_Predpoklady!$C$60+(F9+F11+F13)*1_Predpoklady!$C$61</f>
        <v>1026000</v>
      </c>
      <c r="G15" s="21" t="n">
        <f aca="false">F15+(G8+G10+G12)*1_Predpoklady!$C$60+(G9+G11+G13)*1_Predpoklady!$C$61</f>
        <v>1026000</v>
      </c>
      <c r="H15" s="21" t="n">
        <f aca="false">G15+(H8+H10+H12)*1_Predpoklady!$C$60+(H9+H11+H13)*1_Predpoklady!$C$61</f>
        <v>1026000</v>
      </c>
      <c r="I15" s="21" t="n">
        <f aca="false">H15+(I8+I10+I12)*1_Predpoklady!$C$60+(I9+I11+I13)*1_Predpoklady!$C$61</f>
        <v>1026000</v>
      </c>
    </row>
    <row r="17" customFormat="false" ht="15" hidden="false" customHeight="true" outlineLevel="0" collapsed="false">
      <c r="B17" s="17" t="s">
        <v>154</v>
      </c>
      <c r="C17" s="17"/>
      <c r="D17" s="17"/>
      <c r="E17" s="17"/>
      <c r="F17" s="17"/>
      <c r="G17" s="17"/>
      <c r="H17" s="17"/>
      <c r="I17" s="17"/>
      <c r="J17" s="17"/>
    </row>
    <row r="18" customFormat="false" ht="15" hidden="false" customHeight="true" outlineLevel="0" collapsed="false">
      <c r="B18" s="5" t="s">
        <v>155</v>
      </c>
      <c r="C18" s="18" t="n">
        <v>0</v>
      </c>
      <c r="D18" s="18" t="n">
        <v>2</v>
      </c>
      <c r="E18" s="18" t="n">
        <v>2</v>
      </c>
      <c r="F18" s="18" t="n">
        <v>2</v>
      </c>
      <c r="G18" s="18" t="n">
        <v>0</v>
      </c>
      <c r="H18" s="18" t="n">
        <v>0</v>
      </c>
      <c r="I18" s="18" t="n">
        <v>0</v>
      </c>
    </row>
    <row r="19" customFormat="false" ht="15" hidden="false" customHeight="true" outlineLevel="0" collapsed="false">
      <c r="B19" s="5" t="s">
        <v>156</v>
      </c>
      <c r="C19" s="18" t="n">
        <v>0</v>
      </c>
      <c r="D19" s="18" t="n">
        <v>2</v>
      </c>
      <c r="E19" s="18" t="n">
        <v>4</v>
      </c>
      <c r="F19" s="18" t="n">
        <v>6</v>
      </c>
      <c r="G19" s="18" t="n">
        <v>6</v>
      </c>
      <c r="H19" s="18" t="n">
        <v>6</v>
      </c>
      <c r="I19" s="18" t="n">
        <v>6</v>
      </c>
    </row>
    <row r="20" customFormat="false" ht="15" hidden="false" customHeight="true" outlineLevel="0" collapsed="false">
      <c r="B20" s="5" t="s">
        <v>157</v>
      </c>
      <c r="C20" s="22" t="n">
        <f aca="false">C19*1_Predpoklady!$C$7</f>
        <v>0</v>
      </c>
      <c r="D20" s="22" t="n">
        <f aca="false">D19*1_Predpoklady!$C$7</f>
        <v>120</v>
      </c>
      <c r="E20" s="22" t="n">
        <f aca="false">E19*1_Predpoklady!$C$7</f>
        <v>240</v>
      </c>
      <c r="F20" s="22" t="n">
        <f aca="false">F19*1_Predpoklady!$C$7</f>
        <v>360</v>
      </c>
      <c r="G20" s="22" t="n">
        <f aca="false">G19*1_Predpoklady!$C$7</f>
        <v>360</v>
      </c>
      <c r="H20" s="22" t="n">
        <f aca="false">H19*1_Predpoklady!$C$7</f>
        <v>360</v>
      </c>
      <c r="I20" s="22" t="n">
        <f aca="false">I19*1_Predpoklady!$C$7</f>
        <v>360</v>
      </c>
    </row>
    <row r="22" customFormat="false" ht="15" hidden="false" customHeight="true" outlineLevel="0" collapsed="false">
      <c r="B22" s="17" t="s">
        <v>158</v>
      </c>
      <c r="C22" s="17"/>
      <c r="D22" s="17"/>
      <c r="E22" s="17"/>
      <c r="F22" s="17"/>
      <c r="G22" s="17"/>
      <c r="H22" s="17"/>
      <c r="I22" s="17"/>
      <c r="J22" s="17"/>
    </row>
    <row r="23" customFormat="false" ht="15" hidden="false" customHeight="true" outlineLevel="0" collapsed="false">
      <c r="B23" s="5" t="s">
        <v>159</v>
      </c>
      <c r="C23" s="18" t="n">
        <v>0</v>
      </c>
      <c r="D23" s="18" t="n">
        <v>20</v>
      </c>
      <c r="E23" s="18" t="n">
        <v>50</v>
      </c>
      <c r="F23" s="18" t="n">
        <v>85</v>
      </c>
      <c r="G23" s="18" t="n">
        <v>85</v>
      </c>
      <c r="H23" s="18" t="n">
        <v>90</v>
      </c>
      <c r="I23" s="18" t="n">
        <v>90</v>
      </c>
    </row>
    <row r="24" customFormat="false" ht="15" hidden="false" customHeight="true" outlineLevel="0" collapsed="false">
      <c r="B24" s="5" t="s">
        <v>160</v>
      </c>
      <c r="C24" s="18" t="n">
        <v>0</v>
      </c>
      <c r="D24" s="18" t="n">
        <v>0</v>
      </c>
      <c r="E24" s="18" t="n">
        <v>20</v>
      </c>
      <c r="F24" s="18" t="n">
        <v>45</v>
      </c>
      <c r="G24" s="18" t="n">
        <v>85</v>
      </c>
      <c r="H24" s="18" t="n">
        <v>85</v>
      </c>
      <c r="I24" s="18" t="n">
        <v>90</v>
      </c>
    </row>
    <row r="25" customFormat="false" ht="15" hidden="false" customHeight="true" outlineLevel="0" collapsed="false">
      <c r="B25" s="5" t="s">
        <v>161</v>
      </c>
      <c r="C25" s="18" t="n">
        <v>0</v>
      </c>
      <c r="D25" s="18" t="n">
        <v>0</v>
      </c>
      <c r="E25" s="18" t="n">
        <v>10</v>
      </c>
      <c r="F25" s="18" t="n">
        <v>35</v>
      </c>
      <c r="G25" s="18" t="n">
        <v>75</v>
      </c>
      <c r="H25" s="18" t="n">
        <v>85</v>
      </c>
      <c r="I25" s="18" t="n">
        <v>85</v>
      </c>
    </row>
    <row r="26" customFormat="false" ht="15" hidden="false" customHeight="true" outlineLevel="0" collapsed="false">
      <c r="B26" s="5" t="s">
        <v>162</v>
      </c>
      <c r="C26" s="18" t="n">
        <v>0</v>
      </c>
      <c r="D26" s="18" t="n">
        <v>0</v>
      </c>
      <c r="E26" s="18" t="n">
        <v>0</v>
      </c>
      <c r="F26" s="18" t="n">
        <v>25</v>
      </c>
      <c r="G26" s="18" t="n">
        <v>45</v>
      </c>
      <c r="H26" s="18" t="n">
        <v>45</v>
      </c>
      <c r="I26" s="18" t="n">
        <v>45</v>
      </c>
    </row>
    <row r="27" customFormat="false" ht="15" hidden="false" customHeight="true" outlineLevel="0" collapsed="false">
      <c r="B27" s="5" t="s">
        <v>163</v>
      </c>
      <c r="C27" s="18" t="n">
        <v>0</v>
      </c>
      <c r="D27" s="18" t="n">
        <v>0</v>
      </c>
      <c r="E27" s="18" t="n">
        <v>0</v>
      </c>
      <c r="F27" s="18" t="n">
        <v>20</v>
      </c>
      <c r="G27" s="18" t="n">
        <v>60</v>
      </c>
      <c r="H27" s="18" t="n">
        <v>90</v>
      </c>
      <c r="I27" s="18" t="n">
        <v>90</v>
      </c>
    </row>
    <row r="28" customFormat="false" ht="15" hidden="false" customHeight="true" outlineLevel="0" collapsed="false">
      <c r="B28" s="5" t="s">
        <v>164</v>
      </c>
      <c r="C28" s="18" t="n">
        <v>0</v>
      </c>
      <c r="D28" s="18" t="n">
        <v>0</v>
      </c>
      <c r="E28" s="18" t="n">
        <v>0</v>
      </c>
      <c r="F28" s="18" t="n">
        <v>0</v>
      </c>
      <c r="G28" s="18" t="n">
        <v>20</v>
      </c>
      <c r="H28" s="18" t="n">
        <v>30</v>
      </c>
      <c r="I28" s="18" t="n">
        <v>30</v>
      </c>
    </row>
    <row r="29" customFormat="false" ht="15" hidden="false" customHeight="true" outlineLevel="0" collapsed="false">
      <c r="B29" s="5" t="s">
        <v>165</v>
      </c>
      <c r="C29" s="18" t="n">
        <v>0</v>
      </c>
      <c r="D29" s="18" t="n">
        <v>80</v>
      </c>
      <c r="E29" s="18" t="n">
        <v>130</v>
      </c>
      <c r="F29" s="18" t="n">
        <v>80</v>
      </c>
      <c r="G29" s="18" t="n">
        <v>100</v>
      </c>
      <c r="H29" s="18" t="n">
        <v>90</v>
      </c>
      <c r="I29" s="18" t="n">
        <v>90</v>
      </c>
    </row>
    <row r="30" customFormat="false" ht="15" hidden="false" customHeight="true" outlineLevel="0" collapsed="false">
      <c r="B30" s="5" t="s">
        <v>166</v>
      </c>
      <c r="C30" s="18" t="n">
        <v>0</v>
      </c>
      <c r="D30" s="18" t="n">
        <v>0</v>
      </c>
      <c r="E30" s="18" t="n">
        <v>60</v>
      </c>
      <c r="F30" s="18" t="n">
        <v>200</v>
      </c>
      <c r="G30" s="18" t="n">
        <v>215</v>
      </c>
      <c r="H30" s="18" t="n">
        <v>230</v>
      </c>
      <c r="I30" s="18" t="n">
        <v>230</v>
      </c>
    </row>
    <row r="31" customFormat="false" ht="15" hidden="false" customHeight="true" outlineLevel="0" collapsed="false">
      <c r="B31" s="5" t="s">
        <v>167</v>
      </c>
      <c r="C31" s="18" t="n">
        <v>0</v>
      </c>
      <c r="D31" s="18" t="n">
        <v>10</v>
      </c>
      <c r="E31" s="18" t="n">
        <v>30</v>
      </c>
      <c r="F31" s="18" t="n">
        <v>55</v>
      </c>
      <c r="G31" s="18" t="n">
        <v>60</v>
      </c>
      <c r="H31" s="18" t="n">
        <v>60</v>
      </c>
      <c r="I31" s="18" t="n">
        <v>60</v>
      </c>
    </row>
    <row r="32" customFormat="false" ht="15" hidden="false" customHeight="true" outlineLevel="0" collapsed="false">
      <c r="B32" s="19" t="s">
        <v>168</v>
      </c>
      <c r="C32" s="20" t="n">
        <f aca="false">SUM(C23:C28)</f>
        <v>0</v>
      </c>
      <c r="D32" s="20" t="n">
        <f aca="false">SUM(D23:D28)</f>
        <v>20</v>
      </c>
      <c r="E32" s="20" t="n">
        <f aca="false">SUM(E23:E28)</f>
        <v>80</v>
      </c>
      <c r="F32" s="20" t="n">
        <f aca="false">SUM(F23:F28)</f>
        <v>210</v>
      </c>
      <c r="G32" s="20" t="n">
        <f aca="false">SUM(G23:G28)</f>
        <v>370</v>
      </c>
      <c r="H32" s="20" t="n">
        <f aca="false">SUM(H23:H28)</f>
        <v>425</v>
      </c>
      <c r="I32" s="20" t="n">
        <f aca="false">SUM(I23:I28)</f>
        <v>430</v>
      </c>
    </row>
    <row r="33" customFormat="false" ht="15" hidden="false" customHeight="true" outlineLevel="0" collapsed="false">
      <c r="B33" s="19" t="s">
        <v>169</v>
      </c>
      <c r="C33" s="20" t="n">
        <f aca="false">SUM(C30:C32)</f>
        <v>0</v>
      </c>
      <c r="D33" s="20" t="n">
        <f aca="false">SUM(D30:D32)</f>
        <v>30</v>
      </c>
      <c r="E33" s="20" t="n">
        <f aca="false">SUM(E30:E32)</f>
        <v>170</v>
      </c>
      <c r="F33" s="20" t="n">
        <f aca="false">SUM(F30:F32)</f>
        <v>465</v>
      </c>
      <c r="G33" s="20" t="n">
        <f aca="false">SUM(G30:G32)</f>
        <v>645</v>
      </c>
      <c r="H33" s="20" t="n">
        <f aca="false">SUM(H30:H32)</f>
        <v>715</v>
      </c>
      <c r="I33" s="20" t="n">
        <f aca="false">SUM(I30:I32)</f>
        <v>720</v>
      </c>
    </row>
    <row r="34" customFormat="false" ht="15" hidden="false" customHeight="true" outlineLevel="0" collapsed="false">
      <c r="B34" s="5" t="s">
        <v>170</v>
      </c>
      <c r="C34" s="22" t="n">
        <f aca="false">C31+C32</f>
        <v>0</v>
      </c>
      <c r="D34" s="22" t="n">
        <f aca="false">D31+D32</f>
        <v>30</v>
      </c>
      <c r="E34" s="22" t="n">
        <f aca="false">E31+E32</f>
        <v>110</v>
      </c>
      <c r="F34" s="22" t="n">
        <f aca="false">F31+F32</f>
        <v>265</v>
      </c>
      <c r="G34" s="22" t="n">
        <f aca="false">G31+G32</f>
        <v>430</v>
      </c>
      <c r="H34" s="22" t="n">
        <f aca="false">H31+H32</f>
        <v>485</v>
      </c>
      <c r="I34" s="22" t="n">
        <f aca="false">I31+I32</f>
        <v>490</v>
      </c>
    </row>
    <row r="35" customFormat="false" ht="15" hidden="false" customHeight="true" outlineLevel="0" collapsed="false">
      <c r="B35" s="23" t="s">
        <v>171</v>
      </c>
      <c r="C35" s="24" t="n">
        <f aca="false">C32+C33</f>
        <v>0</v>
      </c>
      <c r="D35" s="24" t="n">
        <f aca="false">D32+D33</f>
        <v>50</v>
      </c>
      <c r="E35" s="24" t="n">
        <f aca="false">E32+E33</f>
        <v>250</v>
      </c>
      <c r="F35" s="24" t="n">
        <f aca="false">F32+F33</f>
        <v>675</v>
      </c>
      <c r="G35" s="24" t="n">
        <f aca="false">G32+G33</f>
        <v>1015</v>
      </c>
      <c r="H35" s="24" t="n">
        <f aca="false">H32+H33</f>
        <v>1140</v>
      </c>
      <c r="I35" s="24" t="n">
        <f aca="false">I32+I33</f>
        <v>1150</v>
      </c>
    </row>
    <row r="37" customFormat="false" ht="15" hidden="false" customHeight="true" outlineLevel="0" collapsed="false">
      <c r="B37" s="17" t="s">
        <v>172</v>
      </c>
      <c r="C37" s="17"/>
      <c r="D37" s="17"/>
      <c r="E37" s="17"/>
      <c r="F37" s="17"/>
      <c r="G37" s="17"/>
      <c r="H37" s="17"/>
      <c r="I37" s="17"/>
      <c r="J37" s="17"/>
    </row>
    <row r="38" customFormat="false" ht="15" hidden="false" customHeight="true" outlineLevel="0" collapsed="false">
      <c r="B38" s="5" t="s">
        <v>173</v>
      </c>
      <c r="C38" s="18" t="n">
        <v>0</v>
      </c>
      <c r="D38" s="18" t="n">
        <v>76</v>
      </c>
      <c r="E38" s="18" t="n">
        <v>156</v>
      </c>
      <c r="F38" s="18" t="n">
        <v>240</v>
      </c>
      <c r="G38" s="18" t="n">
        <v>320</v>
      </c>
      <c r="H38" s="18" t="n">
        <v>342</v>
      </c>
      <c r="I38" s="18" t="n">
        <v>342</v>
      </c>
    </row>
    <row r="39" customFormat="false" ht="15" hidden="false" customHeight="true" outlineLevel="0" collapsed="false">
      <c r="B39" s="7" t="s">
        <v>174</v>
      </c>
      <c r="C39" s="18" t="n">
        <v>0</v>
      </c>
      <c r="D39" s="18" t="n">
        <v>45</v>
      </c>
      <c r="E39" s="18" t="n">
        <v>95</v>
      </c>
      <c r="F39" s="18" t="n">
        <v>145</v>
      </c>
      <c r="G39" s="18" t="n">
        <v>195</v>
      </c>
      <c r="H39" s="18" t="n">
        <v>205</v>
      </c>
      <c r="I39" s="18" t="n">
        <v>205</v>
      </c>
    </row>
    <row r="40" customFormat="false" ht="15" hidden="false" customHeight="true" outlineLevel="0" collapsed="false">
      <c r="B40" s="7" t="s">
        <v>175</v>
      </c>
      <c r="C40" s="18" t="n">
        <v>0</v>
      </c>
      <c r="D40" s="18" t="n">
        <v>31</v>
      </c>
      <c r="E40" s="18" t="n">
        <v>61</v>
      </c>
      <c r="F40" s="18" t="n">
        <v>95</v>
      </c>
      <c r="G40" s="18" t="n">
        <v>125</v>
      </c>
      <c r="H40" s="18" t="n">
        <v>137</v>
      </c>
      <c r="I40" s="18" t="n">
        <v>137</v>
      </c>
    </row>
    <row r="41" customFormat="false" ht="15" hidden="false" customHeight="true" outlineLevel="0" collapsed="false">
      <c r="B41" s="5" t="s">
        <v>176</v>
      </c>
      <c r="C41" s="18" t="n">
        <v>0</v>
      </c>
      <c r="D41" s="18" t="n">
        <v>0</v>
      </c>
      <c r="E41" s="18" t="n">
        <v>8</v>
      </c>
      <c r="F41" s="18" t="n">
        <v>20</v>
      </c>
      <c r="G41" s="18" t="n">
        <v>50</v>
      </c>
      <c r="H41" s="18" t="n">
        <v>85</v>
      </c>
      <c r="I41" s="18" t="n">
        <v>90</v>
      </c>
    </row>
    <row r="42" customFormat="false" ht="15" hidden="false" customHeight="true" outlineLevel="0" collapsed="false">
      <c r="B42" s="5" t="s">
        <v>177</v>
      </c>
      <c r="C42" s="18" t="n">
        <v>0</v>
      </c>
      <c r="D42" s="18" t="n">
        <v>0</v>
      </c>
      <c r="E42" s="18" t="n">
        <v>0</v>
      </c>
      <c r="F42" s="18" t="n">
        <v>0</v>
      </c>
      <c r="G42" s="18" t="n">
        <v>30</v>
      </c>
      <c r="H42" s="18" t="n">
        <v>60</v>
      </c>
      <c r="I42" s="18" t="n">
        <v>75</v>
      </c>
    </row>
    <row r="44" customFormat="false" ht="15" hidden="false" customHeight="true" outlineLevel="0" collapsed="false">
      <c r="B44" s="17" t="s">
        <v>178</v>
      </c>
      <c r="C44" s="17"/>
      <c r="D44" s="17"/>
      <c r="E44" s="17"/>
      <c r="F44" s="17"/>
      <c r="G44" s="17"/>
      <c r="H44" s="17"/>
      <c r="I44" s="17"/>
      <c r="J44" s="17"/>
    </row>
    <row r="45" customFormat="false" ht="15" hidden="false" customHeight="true" outlineLevel="0" collapsed="false">
      <c r="B45" s="5" t="s">
        <v>179</v>
      </c>
      <c r="C45" s="25" t="n">
        <f aca="false">IFERROR(C34/C19,0)</f>
        <v>0</v>
      </c>
      <c r="D45" s="25" t="n">
        <f aca="false">IFERROR(D34/D19,0)</f>
        <v>15</v>
      </c>
      <c r="E45" s="25" t="n">
        <f aca="false">IFERROR(E34/E19,0)</f>
        <v>27.5</v>
      </c>
      <c r="F45" s="25" t="n">
        <f aca="false">IFERROR(F34/F19,0)</f>
        <v>44.1666666666667</v>
      </c>
      <c r="G45" s="25" t="n">
        <f aca="false">IFERROR(G34/G19,0)</f>
        <v>71.6666666666667</v>
      </c>
      <c r="H45" s="25" t="n">
        <f aca="false">IFERROR(H34/H19,0)</f>
        <v>80.8333333333333</v>
      </c>
      <c r="I45" s="25" t="n">
        <f aca="false">IFERROR(I34/I19,0)</f>
        <v>81.6666666666667</v>
      </c>
    </row>
    <row r="46" customFormat="false" ht="15" hidden="false" customHeight="true" outlineLevel="0" collapsed="false">
      <c r="B46" s="5" t="s">
        <v>180</v>
      </c>
      <c r="C46" s="26" t="n">
        <f aca="false">IFERROR(C34/(C19*1_Predpoklady!$C$7),0)</f>
        <v>0</v>
      </c>
      <c r="D46" s="26" t="n">
        <f aca="false">IFERROR(D34/(D19*1_Predpoklady!$C$7),0)</f>
        <v>0.25</v>
      </c>
      <c r="E46" s="26" t="n">
        <f aca="false">IFERROR(E34/(E19*1_Predpoklady!$C$7),0)</f>
        <v>0.458333333333333</v>
      </c>
      <c r="F46" s="26" t="n">
        <f aca="false">IFERROR(F34/(F19*1_Predpoklady!$C$7),0)</f>
        <v>0.736111111111111</v>
      </c>
      <c r="G46" s="26" t="n">
        <f aca="false">IFERROR(G34/(G19*1_Predpoklady!$C$7),0)</f>
        <v>1.19444444444444</v>
      </c>
      <c r="H46" s="26" t="n">
        <f aca="false">IFERROR(H34/(H19*1_Predpoklady!$C$7),0)</f>
        <v>1.34722222222222</v>
      </c>
      <c r="I46" s="26" t="n">
        <f aca="false">IFERROR(I34/(I19*1_Predpoklady!$C$7),0)</f>
        <v>1.36111111111111</v>
      </c>
    </row>
    <row r="48" customFormat="false" ht="15" hidden="false" customHeight="true" outlineLevel="0" collapsed="false">
      <c r="B48" s="17" t="s">
        <v>181</v>
      </c>
      <c r="C48" s="17"/>
      <c r="D48" s="17"/>
      <c r="E48" s="17"/>
      <c r="F48" s="17"/>
      <c r="G48" s="17"/>
      <c r="H48" s="17"/>
      <c r="I48" s="17"/>
      <c r="J48" s="17"/>
    </row>
    <row r="49" customFormat="false" ht="15" hidden="false" customHeight="true" outlineLevel="0" collapsed="false">
      <c r="B49" s="5" t="s">
        <v>182</v>
      </c>
      <c r="C49" s="18" t="n">
        <v>0</v>
      </c>
      <c r="D49" s="18" t="n">
        <v>40</v>
      </c>
      <c r="E49" s="18" t="n">
        <v>145</v>
      </c>
      <c r="F49" s="18" t="n">
        <v>255</v>
      </c>
      <c r="G49" s="18" t="n">
        <v>305</v>
      </c>
      <c r="H49" s="18" t="n">
        <v>320</v>
      </c>
      <c r="I49" s="18" t="n">
        <v>320</v>
      </c>
    </row>
    <row r="50" customFormat="false" ht="15" hidden="false" customHeight="true" outlineLevel="0" collapsed="false">
      <c r="B50" s="5" t="s">
        <v>183</v>
      </c>
      <c r="C50" s="22" t="n">
        <f aca="false">0*1_Predpoklady!$C$13</f>
        <v>0</v>
      </c>
      <c r="D50" s="22" t="n">
        <f aca="false">0.85*1_Predpoklady!$C$13</f>
        <v>5100</v>
      </c>
      <c r="E50" s="22" t="n">
        <f aca="false">0.88*1_Predpoklady!$C$13</f>
        <v>5280</v>
      </c>
      <c r="F50" s="22" t="n">
        <f aca="false">0.92*1_Predpoklady!$C$13</f>
        <v>5520</v>
      </c>
      <c r="G50" s="22" t="n">
        <f aca="false">0.95*1_Predpoklady!$C$13</f>
        <v>5700</v>
      </c>
      <c r="H50" s="22" t="n">
        <f aca="false">0.98*1_Predpoklady!$C$13</f>
        <v>5880</v>
      </c>
      <c r="I50" s="22" t="n">
        <f aca="false">1*1_Predpoklady!$C$13</f>
        <v>6000</v>
      </c>
    </row>
    <row r="51" customFormat="false" ht="15" hidden="false" customHeight="true" outlineLevel="0" collapsed="false">
      <c r="B51" s="23" t="s">
        <v>184</v>
      </c>
      <c r="C51" s="24" t="n">
        <f aca="false">C49*C50</f>
        <v>0</v>
      </c>
      <c r="D51" s="24" t="n">
        <f aca="false">D49*D50</f>
        <v>204000</v>
      </c>
      <c r="E51" s="24" t="n">
        <f aca="false">E49*E50</f>
        <v>765600</v>
      </c>
      <c r="F51" s="24" t="n">
        <f aca="false">F49*F50</f>
        <v>1407600</v>
      </c>
      <c r="G51" s="24" t="n">
        <f aca="false">G49*G50</f>
        <v>1738500</v>
      </c>
      <c r="H51" s="24" t="n">
        <f aca="false">H49*H50</f>
        <v>1881600</v>
      </c>
      <c r="I51" s="24" t="n">
        <f aca="false">I49*I50</f>
        <v>1920000</v>
      </c>
    </row>
    <row r="53" customFormat="false" ht="15" hidden="false" customHeight="true" outlineLevel="0" collapsed="false">
      <c r="B53" s="27" t="s">
        <v>185</v>
      </c>
    </row>
    <row r="54" customFormat="false" ht="15" hidden="false" customHeight="true" outlineLevel="0" collapsed="false">
      <c r="B54" s="3" t="s">
        <v>186</v>
      </c>
      <c r="C54" s="3"/>
      <c r="D54" s="3"/>
      <c r="E54" s="3"/>
      <c r="F54" s="3"/>
      <c r="G54" s="3"/>
      <c r="H54" s="3"/>
      <c r="I54" s="3"/>
      <c r="J54" s="3"/>
    </row>
    <row r="55" customFormat="false" ht="15" hidden="false" customHeight="true" outlineLevel="0" collapsed="false">
      <c r="B55" s="3" t="s">
        <v>187</v>
      </c>
      <c r="C55" s="3"/>
      <c r="D55" s="3"/>
      <c r="E55" s="3"/>
      <c r="F55" s="3"/>
      <c r="G55" s="3"/>
      <c r="H55" s="3"/>
      <c r="I55" s="3"/>
      <c r="J55" s="3"/>
    </row>
    <row r="56" customFormat="false" ht="15" hidden="false" customHeight="true" outlineLevel="0" collapsed="false">
      <c r="B56" s="3" t="s">
        <v>188</v>
      </c>
      <c r="C56" s="3"/>
      <c r="D56" s="3"/>
      <c r="E56" s="3"/>
      <c r="F56" s="3"/>
      <c r="G56" s="3"/>
      <c r="H56" s="3"/>
      <c r="I56" s="3"/>
      <c r="J56" s="3"/>
    </row>
    <row r="57" customFormat="false" ht="15" hidden="false" customHeight="true" outlineLevel="0" collapsed="false">
      <c r="B57" s="3" t="s">
        <v>189</v>
      </c>
      <c r="C57" s="3"/>
      <c r="D57" s="3"/>
      <c r="E57" s="3"/>
      <c r="F57" s="3"/>
      <c r="G57" s="3"/>
      <c r="H57" s="3"/>
      <c r="I57" s="3"/>
      <c r="J57" s="3"/>
    </row>
    <row r="58" customFormat="false" ht="15" hidden="false" customHeight="true" outlineLevel="0" collapsed="false">
      <c r="B58" s="3" t="s">
        <v>190</v>
      </c>
      <c r="C58" s="3"/>
      <c r="D58" s="3"/>
      <c r="E58" s="3"/>
      <c r="F58" s="3"/>
      <c r="G58" s="3"/>
      <c r="H58" s="3"/>
      <c r="I58" s="3"/>
      <c r="J58" s="3"/>
    </row>
    <row r="59" customFormat="false" ht="15" hidden="false" customHeight="true" outlineLevel="0" collapsed="false">
      <c r="B59" s="3" t="s">
        <v>191</v>
      </c>
      <c r="C59" s="3"/>
      <c r="D59" s="3"/>
      <c r="E59" s="3"/>
      <c r="F59" s="3"/>
      <c r="G59" s="3"/>
      <c r="H59" s="3"/>
      <c r="I59" s="3"/>
      <c r="J59" s="3"/>
    </row>
  </sheetData>
  <mergeCells count="14">
    <mergeCell ref="B1:J1"/>
    <mergeCell ref="B2:J2"/>
    <mergeCell ref="B7:J7"/>
    <mergeCell ref="B17:J17"/>
    <mergeCell ref="B22:J22"/>
    <mergeCell ref="B37:J37"/>
    <mergeCell ref="B44:J44"/>
    <mergeCell ref="B48:J48"/>
    <mergeCell ref="B54:J54"/>
    <mergeCell ref="B55:J55"/>
    <mergeCell ref="B56:J56"/>
    <mergeCell ref="B57:J57"/>
    <mergeCell ref="B58:J58"/>
    <mergeCell ref="B59:J5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8"/>
    <col collapsed="false" customWidth="true" hidden="false" outlineLevel="0" max="4" min="3" style="1" width="12"/>
    <col collapsed="false" customWidth="true" hidden="false" outlineLevel="0" max="5" min="5" style="1" width="18"/>
    <col collapsed="false" customWidth="true" hidden="false" outlineLevel="0" max="6" min="6" style="1" width="14"/>
    <col collapsed="false" customWidth="true" hidden="false" outlineLevel="0" max="7" min="7" style="1" width="60"/>
  </cols>
  <sheetData>
    <row r="1" customFormat="false" ht="27.75" hidden="false" customHeight="true" outlineLevel="0" collapsed="false">
      <c r="B1" s="2" t="s">
        <v>192</v>
      </c>
      <c r="C1" s="2"/>
      <c r="D1" s="2"/>
      <c r="E1" s="2"/>
      <c r="F1" s="2"/>
      <c r="G1" s="2"/>
    </row>
    <row r="2" customFormat="false" ht="15" hidden="false" customHeight="true" outlineLevel="0" collapsed="false">
      <c r="B2" s="3" t="s">
        <v>193</v>
      </c>
      <c r="C2" s="3"/>
      <c r="D2" s="3"/>
      <c r="E2" s="3"/>
      <c r="F2" s="3"/>
      <c r="G2" s="3"/>
    </row>
    <row r="4" customFormat="false" ht="31.5" hidden="false" customHeight="true" outlineLevel="0" collapsed="false">
      <c r="B4" s="28" t="s">
        <v>194</v>
      </c>
      <c r="C4" s="28" t="s">
        <v>195</v>
      </c>
      <c r="D4" s="28" t="s">
        <v>196</v>
      </c>
      <c r="E4" s="28" t="s">
        <v>197</v>
      </c>
      <c r="F4" s="28" t="s">
        <v>198</v>
      </c>
      <c r="G4" s="28" t="s">
        <v>199</v>
      </c>
    </row>
    <row r="5" customFormat="false" ht="60" hidden="false" customHeight="true" outlineLevel="0" collapsed="false">
      <c r="B5" s="29" t="s">
        <v>200</v>
      </c>
      <c r="C5" s="30" t="s">
        <v>201</v>
      </c>
      <c r="D5" s="30" t="s">
        <v>202</v>
      </c>
      <c r="E5" s="30" t="s">
        <v>203</v>
      </c>
      <c r="F5" s="30" t="s">
        <v>204</v>
      </c>
      <c r="G5" s="31" t="s">
        <v>205</v>
      </c>
    </row>
    <row r="6" customFormat="false" ht="60" hidden="false" customHeight="true" outlineLevel="0" collapsed="false">
      <c r="B6" s="29" t="s">
        <v>206</v>
      </c>
      <c r="C6" s="30" t="s">
        <v>207</v>
      </c>
      <c r="D6" s="30" t="s">
        <v>208</v>
      </c>
      <c r="E6" s="30" t="s">
        <v>209</v>
      </c>
      <c r="F6" s="30" t="s">
        <v>210</v>
      </c>
      <c r="G6" s="31" t="s">
        <v>211</v>
      </c>
    </row>
    <row r="7" customFormat="false" ht="60" hidden="false" customHeight="true" outlineLevel="0" collapsed="false">
      <c r="B7" s="29" t="s">
        <v>212</v>
      </c>
      <c r="C7" s="30" t="s">
        <v>213</v>
      </c>
      <c r="D7" s="30" t="s">
        <v>214</v>
      </c>
      <c r="E7" s="30" t="s">
        <v>215</v>
      </c>
      <c r="F7" s="30" t="s">
        <v>216</v>
      </c>
      <c r="G7" s="31" t="s">
        <v>217</v>
      </c>
    </row>
    <row r="8" customFormat="false" ht="60" hidden="false" customHeight="true" outlineLevel="0" collapsed="false">
      <c r="B8" s="29" t="s">
        <v>218</v>
      </c>
      <c r="C8" s="30" t="s">
        <v>219</v>
      </c>
      <c r="D8" s="30" t="s">
        <v>220</v>
      </c>
      <c r="E8" s="30" t="s">
        <v>221</v>
      </c>
      <c r="F8" s="30" t="s">
        <v>204</v>
      </c>
      <c r="G8" s="31" t="s">
        <v>222</v>
      </c>
    </row>
    <row r="9" customFormat="false" ht="60" hidden="false" customHeight="true" outlineLevel="0" collapsed="false">
      <c r="B9" s="29" t="s">
        <v>223</v>
      </c>
      <c r="C9" s="30" t="s">
        <v>224</v>
      </c>
      <c r="D9" s="30" t="s">
        <v>225</v>
      </c>
      <c r="E9" s="30" t="s">
        <v>226</v>
      </c>
      <c r="F9" s="30" t="s">
        <v>227</v>
      </c>
      <c r="G9" s="31" t="s">
        <v>228</v>
      </c>
    </row>
    <row r="10" customFormat="false" ht="60" hidden="false" customHeight="true" outlineLevel="0" collapsed="false">
      <c r="B10" s="29" t="s">
        <v>229</v>
      </c>
      <c r="C10" s="30" t="s">
        <v>230</v>
      </c>
      <c r="D10" s="30" t="s">
        <v>231</v>
      </c>
      <c r="E10" s="30" t="s">
        <v>232</v>
      </c>
      <c r="F10" s="30" t="s">
        <v>204</v>
      </c>
      <c r="G10" s="31" t="s">
        <v>233</v>
      </c>
    </row>
    <row r="11" customFormat="false" ht="60" hidden="false" customHeight="true" outlineLevel="0" collapsed="false">
      <c r="B11" s="29" t="s">
        <v>234</v>
      </c>
      <c r="C11" s="30" t="s">
        <v>235</v>
      </c>
      <c r="D11" s="30" t="s">
        <v>236</v>
      </c>
      <c r="E11" s="30" t="s">
        <v>237</v>
      </c>
      <c r="F11" s="30" t="s">
        <v>238</v>
      </c>
      <c r="G11" s="31" t="s">
        <v>239</v>
      </c>
    </row>
    <row r="12" customFormat="false" ht="60" hidden="false" customHeight="true" outlineLevel="0" collapsed="false">
      <c r="B12" s="29" t="s">
        <v>240</v>
      </c>
      <c r="C12" s="30" t="s">
        <v>241</v>
      </c>
      <c r="D12" s="30" t="s">
        <v>242</v>
      </c>
      <c r="E12" s="30" t="s">
        <v>243</v>
      </c>
      <c r="F12" s="30" t="s">
        <v>244</v>
      </c>
      <c r="G12" s="31" t="s">
        <v>245</v>
      </c>
    </row>
    <row r="13" customFormat="false" ht="60" hidden="false" customHeight="true" outlineLevel="0" collapsed="false">
      <c r="B13" s="29" t="s">
        <v>246</v>
      </c>
      <c r="C13" s="30" t="s">
        <v>247</v>
      </c>
      <c r="D13" s="30" t="s">
        <v>248</v>
      </c>
      <c r="E13" s="30" t="s">
        <v>249</v>
      </c>
      <c r="F13" s="30" t="s">
        <v>250</v>
      </c>
      <c r="G13" s="31" t="s">
        <v>251</v>
      </c>
    </row>
    <row r="14" customFormat="false" ht="21.75" hidden="false" customHeight="true" outlineLevel="0" collapsed="false">
      <c r="B14" s="32" t="s">
        <v>252</v>
      </c>
      <c r="C14" s="32"/>
      <c r="D14" s="32"/>
      <c r="E14" s="32"/>
      <c r="F14" s="33" t="s">
        <v>253</v>
      </c>
      <c r="G14" s="34" t="s">
        <v>254</v>
      </c>
    </row>
    <row r="16" customFormat="false" ht="21.75" hidden="false" customHeight="true" outlineLevel="0" collapsed="false">
      <c r="B16" s="4" t="s">
        <v>255</v>
      </c>
      <c r="C16" s="4"/>
      <c r="D16" s="4"/>
      <c r="E16" s="4"/>
      <c r="F16" s="4"/>
      <c r="G16" s="4"/>
    </row>
    <row r="18" customFormat="false" ht="15" hidden="false" customHeight="true" outlineLevel="0" collapsed="false">
      <c r="B18" s="35" t="s">
        <v>256</v>
      </c>
      <c r="C18" s="35"/>
      <c r="D18" s="35"/>
      <c r="E18" s="35"/>
      <c r="F18" s="36"/>
    </row>
    <row r="19" customFormat="false" ht="15" hidden="false" customHeight="true" outlineLevel="0" collapsed="false">
      <c r="B19" s="35" t="s">
        <v>257</v>
      </c>
      <c r="C19" s="35"/>
      <c r="D19" s="35"/>
      <c r="E19" s="35"/>
      <c r="F19" s="36" t="s">
        <v>258</v>
      </c>
    </row>
    <row r="20" customFormat="false" ht="15" hidden="false" customHeight="true" outlineLevel="0" collapsed="false">
      <c r="B20" s="35" t="s">
        <v>259</v>
      </c>
      <c r="C20" s="35"/>
      <c r="D20" s="35"/>
      <c r="E20" s="35"/>
      <c r="F20" s="36"/>
    </row>
    <row r="21" customFormat="false" ht="15" hidden="false" customHeight="true" outlineLevel="0" collapsed="false">
      <c r="B21" s="3" t="s">
        <v>260</v>
      </c>
      <c r="C21" s="3"/>
      <c r="D21" s="3"/>
      <c r="E21" s="3"/>
      <c r="F21" s="37"/>
    </row>
    <row r="22" customFormat="false" ht="15" hidden="false" customHeight="true" outlineLevel="0" collapsed="false">
      <c r="B22" s="3" t="s">
        <v>261</v>
      </c>
      <c r="C22" s="3"/>
      <c r="D22" s="3"/>
      <c r="E22" s="3"/>
      <c r="F22" s="37"/>
    </row>
    <row r="23" customFormat="false" ht="15" hidden="false" customHeight="true" outlineLevel="0" collapsed="false">
      <c r="B23" s="3" t="s">
        <v>262</v>
      </c>
      <c r="C23" s="3"/>
      <c r="D23" s="3"/>
      <c r="E23" s="3"/>
      <c r="F23" s="37"/>
    </row>
    <row r="24" customFormat="false" ht="15" hidden="false" customHeight="true" outlineLevel="0" collapsed="false">
      <c r="B24" s="35" t="s">
        <v>263</v>
      </c>
      <c r="C24" s="35"/>
      <c r="D24" s="35"/>
      <c r="E24" s="35"/>
      <c r="F24" s="36" t="s">
        <v>264</v>
      </c>
    </row>
    <row r="25" customFormat="false" ht="15" hidden="false" customHeight="true" outlineLevel="0" collapsed="false">
      <c r="B25" s="35" t="s">
        <v>265</v>
      </c>
      <c r="C25" s="35"/>
      <c r="D25" s="35"/>
      <c r="E25" s="35"/>
      <c r="F25" s="36" t="s">
        <v>266</v>
      </c>
    </row>
    <row r="26" customFormat="false" ht="15" hidden="false" customHeight="true" outlineLevel="0" collapsed="false">
      <c r="B26" s="35" t="s">
        <v>267</v>
      </c>
      <c r="C26" s="35"/>
      <c r="D26" s="35"/>
      <c r="E26" s="35"/>
      <c r="F26" s="36" t="s">
        <v>268</v>
      </c>
    </row>
    <row r="27" customFormat="false" ht="15" hidden="false" customHeight="true" outlineLevel="0" collapsed="false">
      <c r="B27" s="38" t="s">
        <v>269</v>
      </c>
      <c r="C27" s="38"/>
      <c r="D27" s="38"/>
      <c r="E27" s="38"/>
      <c r="F27" s="39" t="s">
        <v>270</v>
      </c>
    </row>
    <row r="28" customFormat="false" ht="15" hidden="false" customHeight="true" outlineLevel="0" collapsed="false">
      <c r="B28" s="35" t="s">
        <v>271</v>
      </c>
      <c r="C28" s="35"/>
      <c r="D28" s="35"/>
      <c r="E28" s="35"/>
      <c r="F28" s="36" t="s">
        <v>272</v>
      </c>
    </row>
    <row r="29" customFormat="false" ht="15" hidden="false" customHeight="true" outlineLevel="0" collapsed="false">
      <c r="B29" s="35" t="s">
        <v>273</v>
      </c>
      <c r="C29" s="35"/>
      <c r="D29" s="35"/>
      <c r="E29" s="35"/>
      <c r="F29" s="36" t="s">
        <v>274</v>
      </c>
    </row>
    <row r="30" customFormat="false" ht="15" hidden="false" customHeight="true" outlineLevel="0" collapsed="false">
      <c r="B30" s="35" t="s">
        <v>275</v>
      </c>
      <c r="C30" s="35"/>
      <c r="D30" s="35"/>
      <c r="E30" s="35"/>
      <c r="F30" s="36" t="s">
        <v>276</v>
      </c>
    </row>
  </sheetData>
  <mergeCells count="17">
    <mergeCell ref="B1:G1"/>
    <mergeCell ref="B2:G2"/>
    <mergeCell ref="B14:E14"/>
    <mergeCell ref="B16:G16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8"/>
    <col collapsed="false" customWidth="true" hidden="false" outlineLevel="0" max="4" min="3" style="1" width="14"/>
    <col collapsed="false" customWidth="true" hidden="false" outlineLevel="0" max="5" min="5" style="1" width="50"/>
  </cols>
  <sheetData>
    <row r="1" customFormat="false" ht="27.75" hidden="false" customHeight="true" outlineLevel="0" collapsed="false">
      <c r="B1" s="2" t="s">
        <v>277</v>
      </c>
      <c r="C1" s="2"/>
      <c r="D1" s="2"/>
      <c r="E1" s="2"/>
    </row>
    <row r="2" customFormat="false" ht="15" hidden="false" customHeight="true" outlineLevel="0" collapsed="false">
      <c r="B2" s="3" t="s">
        <v>278</v>
      </c>
      <c r="C2" s="3"/>
      <c r="D2" s="3"/>
      <c r="E2" s="3"/>
    </row>
    <row r="4" customFormat="false" ht="15" hidden="false" customHeight="true" outlineLevel="0" collapsed="false">
      <c r="B4" s="14" t="s">
        <v>279</v>
      </c>
      <c r="C4" s="40" t="s">
        <v>280</v>
      </c>
      <c r="D4" s="40" t="s">
        <v>281</v>
      </c>
      <c r="E4" s="14" t="s">
        <v>282</v>
      </c>
    </row>
    <row r="5" customFormat="false" ht="15" hidden="false" customHeight="true" outlineLevel="0" collapsed="false">
      <c r="B5" s="17" t="s">
        <v>283</v>
      </c>
      <c r="C5" s="17"/>
      <c r="D5" s="17"/>
      <c r="E5" s="17"/>
    </row>
    <row r="6" customFormat="false" ht="15" hidden="false" customHeight="true" outlineLevel="0" collapsed="false">
      <c r="B6" s="5" t="s">
        <v>284</v>
      </c>
      <c r="C6" s="41" t="n">
        <f aca="false">1_Predpoklady!$C$5*1_Predpoklady!$C$13</f>
        <v>2160000</v>
      </c>
      <c r="D6" s="42" t="n">
        <f aca="false">C6*1_Predpoklady!$C$27</f>
        <v>1620000</v>
      </c>
      <c r="E6" s="7" t="s">
        <v>285</v>
      </c>
    </row>
    <row r="7" customFormat="false" ht="15" hidden="false" customHeight="true" outlineLevel="0" collapsed="false">
      <c r="B7" s="5" t="s">
        <v>286</v>
      </c>
      <c r="C7" s="6" t="n">
        <v>73</v>
      </c>
      <c r="D7" s="43" t="n">
        <f aca="false">C7*1_Predpoklady!$C$32</f>
        <v>175200</v>
      </c>
      <c r="E7" s="7" t="s">
        <v>287</v>
      </c>
    </row>
    <row r="8" customFormat="false" ht="15" hidden="false" customHeight="true" outlineLevel="0" collapsed="false">
      <c r="B8" s="5" t="s">
        <v>288</v>
      </c>
      <c r="C8" s="6" t="n">
        <v>137</v>
      </c>
      <c r="D8" s="43" t="n">
        <f aca="false">C8*1_Predpoklady!$C$30</f>
        <v>30140</v>
      </c>
      <c r="E8" s="7" t="s">
        <v>289</v>
      </c>
    </row>
    <row r="9" customFormat="false" ht="15" hidden="false" customHeight="true" outlineLevel="0" collapsed="false">
      <c r="B9" s="5" t="s">
        <v>290</v>
      </c>
      <c r="C9" s="41" t="n">
        <f aca="false">1_Predpoklady!$C$5*1_Predpoklady!$C$9</f>
        <v>90</v>
      </c>
      <c r="D9" s="43" t="n">
        <f aca="false">C9*1_Predpoklady!$C$31</f>
        <v>63000</v>
      </c>
      <c r="E9" s="7" t="s">
        <v>291</v>
      </c>
    </row>
    <row r="10" customFormat="false" ht="15" hidden="false" customHeight="true" outlineLevel="0" collapsed="false">
      <c r="B10" s="5" t="s">
        <v>292</v>
      </c>
      <c r="C10" s="41" t="n">
        <f aca="false">1_Predpoklady!$C$34</f>
        <v>750</v>
      </c>
      <c r="D10" s="43" t="n">
        <f aca="false">C10*1_Predpoklady!$C$33</f>
        <v>135000</v>
      </c>
      <c r="E10" s="7" t="s">
        <v>293</v>
      </c>
    </row>
    <row r="11" customFormat="false" ht="15" hidden="false" customHeight="true" outlineLevel="0" collapsed="false">
      <c r="B11" s="44" t="s">
        <v>294</v>
      </c>
      <c r="C11" s="44"/>
      <c r="D11" s="45" t="n">
        <f aca="false">SUM(D6:D10)</f>
        <v>2023340</v>
      </c>
    </row>
    <row r="13" customFormat="false" ht="15" hidden="false" customHeight="true" outlineLevel="0" collapsed="false">
      <c r="B13" s="17" t="s">
        <v>295</v>
      </c>
      <c r="C13" s="17"/>
      <c r="D13" s="17"/>
      <c r="E13" s="17"/>
    </row>
    <row r="14" customFormat="false" ht="15" hidden="false" customHeight="true" outlineLevel="0" collapsed="false">
      <c r="B14" s="5" t="s">
        <v>64</v>
      </c>
      <c r="C14" s="41" t="n">
        <f aca="false">(1_Predpoklady!$C$5+ROUND(1_Predpoklady!$C$5*1_Predpoklady!$C$8,0))</f>
        <v>421</v>
      </c>
      <c r="D14" s="43" t="n">
        <f aca="false">C14*1_Predpoklady!$C$37</f>
        <v>244180</v>
      </c>
      <c r="E14" s="7" t="s">
        <v>296</v>
      </c>
    </row>
    <row r="15" customFormat="false" ht="15" hidden="false" customHeight="true" outlineLevel="0" collapsed="false">
      <c r="B15" s="5" t="s">
        <v>297</v>
      </c>
      <c r="C15" s="41" t="n">
        <f aca="false">(1_Predpoklady!$C$5+ROUND(1_Predpoklady!$C$5*1_Predpoklady!$C$8,0))</f>
        <v>421</v>
      </c>
      <c r="D15" s="43" t="n">
        <f aca="false">C15*1_Predpoklady!$C$38</f>
        <v>92620</v>
      </c>
      <c r="E15" s="7" t="s">
        <v>298</v>
      </c>
    </row>
    <row r="16" customFormat="false" ht="15" hidden="false" customHeight="true" outlineLevel="0" collapsed="false">
      <c r="B16" s="5" t="s">
        <v>299</v>
      </c>
      <c r="C16" s="41" t="n">
        <f aca="false">(1_Predpoklady!$C$5+ROUND(1_Predpoklady!$C$5*1_Predpoklady!$C$8,0))</f>
        <v>421</v>
      </c>
      <c r="D16" s="43" t="n">
        <f aca="false">C16*1_Predpoklady!$C$39</f>
        <v>67360</v>
      </c>
      <c r="E16" s="7"/>
    </row>
    <row r="17" customFormat="false" ht="15" hidden="false" customHeight="true" outlineLevel="0" collapsed="false">
      <c r="B17" s="5" t="s">
        <v>71</v>
      </c>
      <c r="C17" s="41" t="n">
        <f aca="false">(1_Predpoklady!$C$5+ROUND(1_Predpoklady!$C$5*1_Predpoklady!$C$8,0))</f>
        <v>421</v>
      </c>
      <c r="D17" s="43" t="n">
        <f aca="false">C17*1_Predpoklady!$C$40</f>
        <v>58940</v>
      </c>
      <c r="E17" s="7" t="s">
        <v>300</v>
      </c>
    </row>
    <row r="18" customFormat="false" ht="15" hidden="false" customHeight="true" outlineLevel="0" collapsed="false">
      <c r="B18" s="5" t="s">
        <v>301</v>
      </c>
      <c r="C18" s="41" t="n">
        <f aca="false">(1_Predpoklady!$C$5+ROUND(1_Predpoklady!$C$5*1_Predpoklady!$C$8,0))</f>
        <v>421</v>
      </c>
      <c r="D18" s="43" t="n">
        <f aca="false">C18*1_Predpoklady!$C$41</f>
        <v>46310</v>
      </c>
      <c r="E18" s="7"/>
    </row>
    <row r="19" customFormat="false" ht="15" hidden="false" customHeight="true" outlineLevel="0" collapsed="false">
      <c r="B19" s="5" t="s">
        <v>302</v>
      </c>
      <c r="C19" s="41" t="n">
        <f aca="false">1_Predpoklady!$C$6</f>
        <v>6</v>
      </c>
      <c r="D19" s="43" t="n">
        <f aca="false">C19*1_Predpoklady!$C$42</f>
        <v>51000</v>
      </c>
      <c r="E19" s="7" t="s">
        <v>303</v>
      </c>
    </row>
    <row r="20" customFormat="false" ht="15" hidden="false" customHeight="true" outlineLevel="0" collapsed="false">
      <c r="B20" s="5" t="s">
        <v>304</v>
      </c>
      <c r="C20" s="41" t="n">
        <f aca="false">1_Predpoklady!$C$5*1_Predpoklady!$C$9</f>
        <v>90</v>
      </c>
      <c r="D20" s="43" t="n">
        <f aca="false">C20*1_Predpoklady!$C$43</f>
        <v>117000</v>
      </c>
      <c r="E20" s="7" t="s">
        <v>305</v>
      </c>
    </row>
    <row r="21" customFormat="false" ht="15" hidden="false" customHeight="true" outlineLevel="0" collapsed="false">
      <c r="B21" s="46" t="s">
        <v>306</v>
      </c>
      <c r="C21" s="46"/>
      <c r="D21" s="46"/>
      <c r="E21" s="46"/>
    </row>
    <row r="22" customFormat="false" ht="15" hidden="false" customHeight="true" outlineLevel="0" collapsed="false">
      <c r="B22" s="5" t="s">
        <v>307</v>
      </c>
      <c r="C22" s="47" t="n">
        <v>1</v>
      </c>
      <c r="D22" s="43" t="n">
        <f aca="false">C22*1_Predpoklady!$C$46*(1+1_Predpoklady!$C$51)</f>
        <v>64896</v>
      </c>
      <c r="E22" s="7" t="s">
        <v>83</v>
      </c>
    </row>
    <row r="23" customFormat="false" ht="15" hidden="false" customHeight="true" outlineLevel="0" collapsed="false">
      <c r="B23" s="5" t="s">
        <v>308</v>
      </c>
      <c r="C23" s="48" t="n">
        <f aca="false">1_Predpoklady!$C$48</f>
        <v>3.5</v>
      </c>
      <c r="D23" s="43" t="n">
        <f aca="false">C23*1_Predpoklady!$C$47*(1+1_Predpoklady!$C$51)</f>
        <v>132496</v>
      </c>
      <c r="E23" s="7" t="s">
        <v>309</v>
      </c>
    </row>
    <row r="24" customFormat="false" ht="15" hidden="false" customHeight="true" outlineLevel="0" collapsed="false">
      <c r="B24" s="5" t="s">
        <v>89</v>
      </c>
      <c r="C24" s="47" t="n">
        <v>1</v>
      </c>
      <c r="D24" s="43" t="n">
        <f aca="false">C24*1_Predpoklady!$C$49*(1+1_Predpoklady!$C$51)</f>
        <v>40560</v>
      </c>
      <c r="E24" s="7" t="s">
        <v>310</v>
      </c>
    </row>
    <row r="25" customFormat="false" ht="15" hidden="false" customHeight="true" outlineLevel="0" collapsed="false">
      <c r="B25" s="5" t="s">
        <v>91</v>
      </c>
      <c r="C25" s="47" t="n">
        <v>1</v>
      </c>
      <c r="D25" s="43" t="n">
        <f aca="false">C25*1_Predpoklady!$C$50*(1+1_Predpoklady!$C$51)</f>
        <v>35152</v>
      </c>
      <c r="E25" s="7" t="s">
        <v>311</v>
      </c>
    </row>
    <row r="26" customFormat="false" ht="15" hidden="false" customHeight="true" outlineLevel="0" collapsed="false">
      <c r="B26" s="46" t="s">
        <v>312</v>
      </c>
      <c r="C26" s="46"/>
      <c r="D26" s="46"/>
      <c r="E26" s="46"/>
    </row>
    <row r="27" customFormat="false" ht="15" hidden="false" customHeight="true" outlineLevel="0" collapsed="false">
      <c r="B27" s="5" t="s">
        <v>313</v>
      </c>
      <c r="D27" s="49" t="n">
        <f aca="false">1_Predpoklady!$C$54</f>
        <v>45000</v>
      </c>
      <c r="E27" s="7"/>
    </row>
    <row r="28" customFormat="false" ht="15" hidden="false" customHeight="true" outlineLevel="0" collapsed="false">
      <c r="B28" s="5" t="s">
        <v>314</v>
      </c>
      <c r="D28" s="49" t="n">
        <f aca="false">1_Predpoklady!$C$55</f>
        <v>35000</v>
      </c>
      <c r="E28" s="7"/>
    </row>
    <row r="29" customFormat="false" ht="15" hidden="false" customHeight="true" outlineLevel="0" collapsed="false">
      <c r="B29" s="5" t="s">
        <v>315</v>
      </c>
      <c r="D29" s="49" t="n">
        <f aca="false">1_Predpoklady!$C$56</f>
        <v>25000</v>
      </c>
      <c r="E29" s="7"/>
    </row>
    <row r="30" customFormat="false" ht="15" hidden="false" customHeight="true" outlineLevel="0" collapsed="false">
      <c r="B30" s="5" t="s">
        <v>316</v>
      </c>
      <c r="D30" s="49" t="n">
        <f aca="false">1_Predpoklady!$C$57</f>
        <v>30000</v>
      </c>
      <c r="E30" s="7"/>
    </row>
    <row r="31" customFormat="false" ht="15" hidden="false" customHeight="true" outlineLevel="0" collapsed="false">
      <c r="B31" s="44" t="s">
        <v>317</v>
      </c>
      <c r="C31" s="44"/>
      <c r="D31" s="45" t="n">
        <f aca="false">SUM(D15:D30)</f>
        <v>841334</v>
      </c>
    </row>
    <row r="33" customFormat="false" ht="15" hidden="false" customHeight="true" outlineLevel="0" collapsed="false">
      <c r="B33" s="44" t="s">
        <v>318</v>
      </c>
      <c r="C33" s="44"/>
      <c r="D33" s="45" t="n">
        <f aca="false">D11-D31</f>
        <v>1182006</v>
      </c>
    </row>
    <row r="34" customFormat="false" ht="15" hidden="false" customHeight="true" outlineLevel="0" collapsed="false">
      <c r="B34" s="38" t="s">
        <v>319</v>
      </c>
      <c r="C34" s="38"/>
      <c r="D34" s="50" t="n">
        <f aca="false">D33/D11</f>
        <v>0.584185554578074</v>
      </c>
    </row>
    <row r="35" customFormat="false" ht="15" hidden="false" customHeight="true" outlineLevel="0" collapsed="false">
      <c r="B35" s="38" t="s">
        <v>320</v>
      </c>
      <c r="C35" s="38"/>
      <c r="D35" s="51" t="n">
        <f aca="false">D33/1_Predpoklady!$C$5</f>
        <v>3283.35</v>
      </c>
    </row>
    <row r="37" customFormat="false" ht="15" hidden="false" customHeight="true" outlineLevel="0" collapsed="false">
      <c r="B37" s="3" t="s">
        <v>321</v>
      </c>
      <c r="C37" s="3"/>
      <c r="D37" s="3"/>
      <c r="E37" s="3"/>
    </row>
  </sheetData>
  <mergeCells count="12">
    <mergeCell ref="B1:E1"/>
    <mergeCell ref="B2:E2"/>
    <mergeCell ref="B5:E5"/>
    <mergeCell ref="B11:C11"/>
    <mergeCell ref="B13:E13"/>
    <mergeCell ref="B21:E21"/>
    <mergeCell ref="B26:E26"/>
    <mergeCell ref="B31:C31"/>
    <mergeCell ref="B33:C33"/>
    <mergeCell ref="B34:C34"/>
    <mergeCell ref="B35:C35"/>
    <mergeCell ref="B37:E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J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2"/>
    <col collapsed="false" customWidth="true" hidden="false" outlineLevel="0" max="8" min="3" style="1" width="13"/>
    <col collapsed="false" customWidth="true" hidden="false" outlineLevel="0" max="9" min="9" style="1" width="14"/>
    <col collapsed="false" customWidth="true" hidden="false" outlineLevel="0" max="10" min="10" style="1" width="35"/>
  </cols>
  <sheetData>
    <row r="1" customFormat="false" ht="27.75" hidden="false" customHeight="true" outlineLevel="0" collapsed="false">
      <c r="B1" s="2" t="s">
        <v>322</v>
      </c>
      <c r="C1" s="2"/>
      <c r="D1" s="2"/>
      <c r="E1" s="2"/>
      <c r="F1" s="2"/>
      <c r="G1" s="2"/>
      <c r="H1" s="2"/>
      <c r="I1" s="2"/>
      <c r="J1" s="2"/>
    </row>
    <row r="2" customFormat="false" ht="15" hidden="false" customHeight="true" outlineLevel="0" collapsed="false">
      <c r="B2" s="3" t="s">
        <v>323</v>
      </c>
      <c r="C2" s="3"/>
      <c r="D2" s="3"/>
      <c r="E2" s="3"/>
      <c r="F2" s="3"/>
      <c r="G2" s="3"/>
      <c r="H2" s="3"/>
      <c r="I2" s="3"/>
      <c r="J2" s="3"/>
    </row>
    <row r="4" customFormat="false" ht="15" hidden="false" customHeight="true" outlineLevel="0" collapsed="false">
      <c r="B4" s="14" t="s">
        <v>324</v>
      </c>
      <c r="C4" s="52" t="s">
        <v>131</v>
      </c>
      <c r="D4" s="52" t="s">
        <v>132</v>
      </c>
      <c r="E4" s="52" t="s">
        <v>133</v>
      </c>
      <c r="F4" s="52" t="s">
        <v>134</v>
      </c>
      <c r="G4" s="53" t="s">
        <v>325</v>
      </c>
      <c r="H4" s="40" t="s">
        <v>326</v>
      </c>
      <c r="I4" s="46" t="s">
        <v>282</v>
      </c>
      <c r="J4" s="46"/>
    </row>
    <row r="5" customFormat="false" ht="15" hidden="false" customHeight="true" outlineLevel="0" collapsed="false">
      <c r="B5" s="14" t="s">
        <v>138</v>
      </c>
      <c r="C5" s="16" t="s">
        <v>327</v>
      </c>
      <c r="D5" s="16" t="s">
        <v>328</v>
      </c>
      <c r="E5" s="16" t="s">
        <v>329</v>
      </c>
      <c r="F5" s="16" t="s">
        <v>330</v>
      </c>
    </row>
    <row r="7" customFormat="false" ht="15" hidden="false" customHeight="true" outlineLevel="0" collapsed="false">
      <c r="B7" s="17" t="s">
        <v>331</v>
      </c>
      <c r="C7" s="17"/>
      <c r="D7" s="17"/>
      <c r="E7" s="17"/>
      <c r="F7" s="17"/>
      <c r="G7" s="17"/>
      <c r="H7" s="17"/>
      <c r="I7" s="17"/>
      <c r="J7" s="17"/>
    </row>
    <row r="8" customFormat="false" ht="15" hidden="false" customHeight="true" outlineLevel="0" collapsed="false">
      <c r="B8" s="5" t="s">
        <v>332</v>
      </c>
      <c r="C8" s="49" t="n">
        <f aca="false">1_Predpoklady!$C$5*1_Predpoklady!$C$62</f>
        <v>1800000</v>
      </c>
      <c r="D8" s="43" t="n">
        <v>0</v>
      </c>
      <c r="E8" s="43" t="n">
        <v>0</v>
      </c>
      <c r="F8" s="43" t="n">
        <v>0</v>
      </c>
      <c r="I8" s="3" t="s">
        <v>333</v>
      </c>
      <c r="J8" s="3"/>
    </row>
    <row r="9" customFormat="false" ht="15" hidden="false" customHeight="true" outlineLevel="0" collapsed="false">
      <c r="B9" s="5" t="s">
        <v>334</v>
      </c>
      <c r="C9" s="49" t="n">
        <f aca="false">1_Predpoklady!$C$64</f>
        <v>700000</v>
      </c>
      <c r="D9" s="43" t="n">
        <v>0</v>
      </c>
      <c r="E9" s="43" t="n">
        <v>0</v>
      </c>
      <c r="F9" s="43" t="n">
        <v>0</v>
      </c>
      <c r="I9" s="3" t="s">
        <v>335</v>
      </c>
      <c r="J9" s="3"/>
    </row>
    <row r="10" customFormat="false" ht="15" hidden="false" customHeight="true" outlineLevel="0" collapsed="false">
      <c r="B10" s="5" t="s">
        <v>336</v>
      </c>
      <c r="C10" s="49" t="n">
        <f aca="false">1_Predpoklady!$C$65</f>
        <v>650000</v>
      </c>
      <c r="D10" s="43" t="n">
        <v>0</v>
      </c>
      <c r="E10" s="43" t="n">
        <v>0</v>
      </c>
      <c r="F10" s="43" t="n">
        <v>0</v>
      </c>
      <c r="I10" s="3" t="s">
        <v>337</v>
      </c>
      <c r="J10" s="3"/>
    </row>
    <row r="11" customFormat="false" ht="15" hidden="false" customHeight="true" outlineLevel="0" collapsed="false">
      <c r="B11" s="5" t="s">
        <v>120</v>
      </c>
      <c r="C11" s="49" t="n">
        <f aca="false">1_Predpoklady!$C$66</f>
        <v>320000</v>
      </c>
      <c r="D11" s="43" t="n">
        <v>0</v>
      </c>
      <c r="E11" s="43" t="n">
        <v>0</v>
      </c>
      <c r="F11" s="43" t="n">
        <v>0</v>
      </c>
      <c r="I11" s="3" t="s">
        <v>338</v>
      </c>
      <c r="J11" s="3"/>
    </row>
    <row r="12" customFormat="false" ht="15" hidden="false" customHeight="true" outlineLevel="0" collapsed="false">
      <c r="B12" s="5" t="s">
        <v>122</v>
      </c>
      <c r="C12" s="49" t="n">
        <f aca="false">1_Predpoklady!$C$67</f>
        <v>280000</v>
      </c>
      <c r="D12" s="43" t="n">
        <v>0</v>
      </c>
      <c r="E12" s="43" t="n">
        <v>0</v>
      </c>
      <c r="F12" s="43" t="n">
        <v>0</v>
      </c>
      <c r="I12" s="3" t="s">
        <v>339</v>
      </c>
      <c r="J12" s="3"/>
    </row>
    <row r="13" customFormat="false" ht="15" hidden="false" customHeight="true" outlineLevel="0" collapsed="false">
      <c r="B13" s="5" t="s">
        <v>124</v>
      </c>
      <c r="C13" s="49" t="n">
        <f aca="false">1_Predpoklady!$C$68*0.5</f>
        <v>240000</v>
      </c>
      <c r="D13" s="49" t="n">
        <f aca="false">1_Predpoklady!$C$68*0.5</f>
        <v>240000</v>
      </c>
      <c r="E13" s="43" t="n">
        <v>0</v>
      </c>
      <c r="F13" s="43" t="n">
        <v>0</v>
      </c>
      <c r="I13" s="3" t="s">
        <v>340</v>
      </c>
      <c r="J13" s="3"/>
    </row>
    <row r="14" customFormat="false" ht="15" hidden="false" customHeight="true" outlineLevel="0" collapsed="false">
      <c r="B14" s="19" t="s">
        <v>341</v>
      </c>
      <c r="C14" s="51" t="n">
        <f aca="false">SUM(C8:C13)</f>
        <v>3990000</v>
      </c>
      <c r="D14" s="51" t="n">
        <f aca="false">SUM(D8:D13)</f>
        <v>240000</v>
      </c>
      <c r="E14" s="51" t="n">
        <f aca="false">SUM(E8:E13)</f>
        <v>0</v>
      </c>
      <c r="F14" s="51" t="n">
        <f aca="false">SUM(F8:F13)</f>
        <v>0</v>
      </c>
      <c r="G14" s="51" t="n">
        <f aca="false">SUM(C14:F14)</f>
        <v>4230000</v>
      </c>
      <c r="H14" s="50" t="n">
        <f aca="false">G14/G28</f>
        <v>0.627782724844167</v>
      </c>
    </row>
    <row r="16" customFormat="false" ht="15" hidden="false" customHeight="true" outlineLevel="0" collapsed="false">
      <c r="B16" s="17" t="s">
        <v>342</v>
      </c>
      <c r="C16" s="17"/>
      <c r="D16" s="17"/>
      <c r="E16" s="17"/>
      <c r="F16" s="17"/>
      <c r="G16" s="17"/>
      <c r="H16" s="17"/>
      <c r="I16" s="17"/>
      <c r="J16" s="17"/>
    </row>
    <row r="17" customFormat="false" ht="15" hidden="false" customHeight="true" outlineLevel="0" collapsed="false">
      <c r="B17" s="5" t="s">
        <v>343</v>
      </c>
      <c r="C17" s="43" t="n">
        <v>0</v>
      </c>
      <c r="D17" s="49" t="n">
        <f aca="false">2*1_Predpoklady!$C$63</f>
        <v>290000</v>
      </c>
      <c r="E17" s="49" t="n">
        <f aca="false">2*1_Predpoklady!$C$63</f>
        <v>290000</v>
      </c>
      <c r="F17" s="49" t="n">
        <f aca="false">2*1_Predpoklady!$C$63</f>
        <v>290000</v>
      </c>
      <c r="I17" s="3" t="s">
        <v>344</v>
      </c>
      <c r="J17" s="3"/>
    </row>
    <row r="18" customFormat="false" ht="15" hidden="false" customHeight="true" outlineLevel="0" collapsed="false">
      <c r="B18" s="19" t="s">
        <v>345</v>
      </c>
      <c r="C18" s="51" t="n">
        <f aca="false">SUM(C17:C17)</f>
        <v>0</v>
      </c>
      <c r="D18" s="51" t="n">
        <f aca="false">SUM(D17:D17)</f>
        <v>290000</v>
      </c>
      <c r="E18" s="51" t="n">
        <f aca="false">SUM(E17:E17)</f>
        <v>290000</v>
      </c>
      <c r="F18" s="51" t="n">
        <f aca="false">SUM(F17:F17)</f>
        <v>290000</v>
      </c>
      <c r="G18" s="51" t="n">
        <f aca="false">SUM(C18:F18)</f>
        <v>870000</v>
      </c>
      <c r="H18" s="50" t="n">
        <f aca="false">G18/G28</f>
        <v>0.129118432769368</v>
      </c>
    </row>
    <row r="20" customFormat="false" ht="15" hidden="false" customHeight="true" outlineLevel="0" collapsed="false">
      <c r="B20" s="17" t="s">
        <v>346</v>
      </c>
      <c r="C20" s="17"/>
      <c r="D20" s="17"/>
      <c r="E20" s="17"/>
      <c r="F20" s="17"/>
      <c r="G20" s="17"/>
      <c r="H20" s="17"/>
      <c r="I20" s="17"/>
      <c r="J20" s="17"/>
    </row>
    <row r="21" customFormat="false" ht="15" hidden="false" customHeight="true" outlineLevel="0" collapsed="false">
      <c r="B21" s="5" t="s">
        <v>347</v>
      </c>
      <c r="C21" s="43" t="n">
        <v>0</v>
      </c>
      <c r="D21" s="49" t="n">
        <f aca="false">80*1_Predpoklady!$C$60</f>
        <v>280000</v>
      </c>
      <c r="E21" s="49" t="n">
        <f aca="false">80*1_Predpoklady!$C$60</f>
        <v>280000</v>
      </c>
      <c r="F21" s="49" t="n">
        <f aca="false">70*1_Predpoklady!$C$60</f>
        <v>245000</v>
      </c>
      <c r="I21" s="3" t="s">
        <v>348</v>
      </c>
      <c r="J21" s="3"/>
    </row>
    <row r="22" customFormat="false" ht="15" hidden="false" customHeight="true" outlineLevel="0" collapsed="false">
      <c r="B22" s="5" t="s">
        <v>349</v>
      </c>
      <c r="C22" s="43" t="n">
        <v>0</v>
      </c>
      <c r="D22" s="49" t="n">
        <f aca="false">50*1_Predpoklady!$C$61</f>
        <v>85000</v>
      </c>
      <c r="E22" s="49" t="n">
        <f aca="false">50*1_Predpoklady!$C$61</f>
        <v>85000</v>
      </c>
      <c r="F22" s="49" t="n">
        <f aca="false">30*1_Predpoklady!$C$61</f>
        <v>51000</v>
      </c>
      <c r="I22" s="3" t="s">
        <v>350</v>
      </c>
      <c r="J22" s="3"/>
    </row>
    <row r="23" customFormat="false" ht="15" hidden="false" customHeight="true" outlineLevel="0" collapsed="false">
      <c r="B23" s="19" t="s">
        <v>351</v>
      </c>
      <c r="C23" s="51" t="n">
        <f aca="false">SUM(C21:C22)</f>
        <v>0</v>
      </c>
      <c r="D23" s="51" t="n">
        <f aca="false">SUM(D21:D22)</f>
        <v>365000</v>
      </c>
      <c r="E23" s="51" t="n">
        <f aca="false">SUM(E21:E22)</f>
        <v>365000</v>
      </c>
      <c r="F23" s="51" t="n">
        <f aca="false">SUM(F21:F22)</f>
        <v>296000</v>
      </c>
      <c r="G23" s="51" t="n">
        <f aca="false">SUM(C23:F23)</f>
        <v>1026000</v>
      </c>
      <c r="H23" s="50" t="n">
        <f aca="false">G23/G28</f>
        <v>0.152270703472841</v>
      </c>
    </row>
    <row r="25" customFormat="false" ht="15" hidden="false" customHeight="true" outlineLevel="0" collapsed="false">
      <c r="B25" s="17" t="s">
        <v>352</v>
      </c>
      <c r="C25" s="17"/>
      <c r="D25" s="17"/>
      <c r="E25" s="17"/>
      <c r="F25" s="17"/>
      <c r="G25" s="17"/>
      <c r="H25" s="17"/>
      <c r="I25" s="17"/>
      <c r="J25" s="17"/>
    </row>
    <row r="26" customFormat="false" ht="15" hidden="false" customHeight="true" outlineLevel="0" collapsed="false">
      <c r="B26" s="5" t="s">
        <v>353</v>
      </c>
      <c r="C26" s="49" t="n">
        <f aca="false">(C14+C18)*1_Predpoklady!$C$69</f>
        <v>478800</v>
      </c>
      <c r="D26" s="49" t="n">
        <f aca="false">(D14+D18)*1_Predpoklady!$C$69</f>
        <v>63600</v>
      </c>
      <c r="E26" s="49" t="n">
        <f aca="false">(E14+E18)*1_Predpoklady!$C$69</f>
        <v>34800</v>
      </c>
      <c r="F26" s="49" t="n">
        <f aca="false">(F14+F18)*1_Predpoklady!$C$69</f>
        <v>34800</v>
      </c>
      <c r="G26" s="51" t="n">
        <f aca="false">SUM(C26:F26)</f>
        <v>612000</v>
      </c>
      <c r="H26" s="50" t="n">
        <f aca="false">G26/G28</f>
        <v>0.0908281389136242</v>
      </c>
      <c r="I26" s="3" t="s">
        <v>354</v>
      </c>
      <c r="J26" s="3"/>
    </row>
    <row r="28" customFormat="false" ht="15" hidden="false" customHeight="true" outlineLevel="0" collapsed="false">
      <c r="B28" s="54" t="s">
        <v>355</v>
      </c>
      <c r="C28" s="45" t="n">
        <f aca="false">C14+C18+C23+C26</f>
        <v>4468800</v>
      </c>
      <c r="D28" s="45" t="n">
        <f aca="false">D14+D18+D23+D26</f>
        <v>958600</v>
      </c>
      <c r="E28" s="45" t="n">
        <f aca="false">E14+E18+E23+E26</f>
        <v>689800</v>
      </c>
      <c r="F28" s="45" t="n">
        <f aca="false">F14+F18+F23+F26</f>
        <v>620800</v>
      </c>
      <c r="G28" s="55" t="n">
        <f aca="false">SUM(C28:F28)</f>
        <v>6738000</v>
      </c>
    </row>
    <row r="30" customFormat="false" ht="15" hidden="false" customHeight="true" outlineLevel="0" collapsed="false">
      <c r="B30" s="19" t="s">
        <v>356</v>
      </c>
      <c r="C30" s="51" t="n">
        <f aca="false">C28</f>
        <v>4468800</v>
      </c>
      <c r="D30" s="51" t="n">
        <f aca="false">C30+D28</f>
        <v>5427400</v>
      </c>
      <c r="E30" s="51" t="n">
        <f aca="false">D30+E28</f>
        <v>6117200</v>
      </c>
      <c r="F30" s="51" t="n">
        <f aca="false">E30+F28</f>
        <v>6738000</v>
      </c>
    </row>
  </sheetData>
  <mergeCells count="17">
    <mergeCell ref="B1:J1"/>
    <mergeCell ref="B2:J2"/>
    <mergeCell ref="I4:J4"/>
    <mergeCell ref="B7:J7"/>
    <mergeCell ref="I8:J8"/>
    <mergeCell ref="I9:J9"/>
    <mergeCell ref="I10:J10"/>
    <mergeCell ref="I11:J11"/>
    <mergeCell ref="I12:J12"/>
    <mergeCell ref="I13:J13"/>
    <mergeCell ref="B16:J16"/>
    <mergeCell ref="I17:J17"/>
    <mergeCell ref="B20:J20"/>
    <mergeCell ref="I21:J21"/>
    <mergeCell ref="I22:J22"/>
    <mergeCell ref="B25:J25"/>
    <mergeCell ref="I26:J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I6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8"/>
    <col collapsed="false" customWidth="true" hidden="false" outlineLevel="0" max="9" min="3" style="1" width="13"/>
  </cols>
  <sheetData>
    <row r="1" customFormat="false" ht="27.75" hidden="false" customHeight="true" outlineLevel="0" collapsed="false">
      <c r="B1" s="2" t="s">
        <v>357</v>
      </c>
      <c r="C1" s="2"/>
      <c r="D1" s="2"/>
      <c r="E1" s="2"/>
      <c r="F1" s="2"/>
      <c r="G1" s="2"/>
      <c r="H1" s="2"/>
      <c r="I1" s="2"/>
    </row>
    <row r="2" customFormat="false" ht="15" hidden="false" customHeight="true" outlineLevel="0" collapsed="false">
      <c r="B2" s="3" t="s">
        <v>358</v>
      </c>
      <c r="C2" s="3"/>
      <c r="D2" s="3"/>
      <c r="E2" s="3"/>
      <c r="F2" s="3"/>
      <c r="G2" s="3"/>
      <c r="H2" s="3"/>
      <c r="I2" s="3"/>
    </row>
    <row r="4" customFormat="false" ht="15" hidden="false" customHeight="true" outlineLevel="0" collapsed="false">
      <c r="B4" s="17" t="s">
        <v>359</v>
      </c>
      <c r="C4" s="17"/>
      <c r="D4" s="17"/>
      <c r="E4" s="17"/>
      <c r="F4" s="17"/>
      <c r="G4" s="17"/>
      <c r="H4" s="17"/>
      <c r="I4" s="17"/>
    </row>
    <row r="5" customFormat="false" ht="30" hidden="false" customHeight="true" outlineLevel="0" collapsed="false">
      <c r="B5" s="56" t="s">
        <v>360</v>
      </c>
      <c r="C5" s="57" t="n">
        <v>5000</v>
      </c>
      <c r="D5" s="57" t="n">
        <v>5500</v>
      </c>
      <c r="E5" s="57" t="n">
        <v>6000</v>
      </c>
      <c r="F5" s="57" t="n">
        <v>6500</v>
      </c>
      <c r="G5" s="57" t="n">
        <v>7000</v>
      </c>
    </row>
    <row r="6" customFormat="false" ht="15" hidden="false" customHeight="true" outlineLevel="0" collapsed="false">
      <c r="B6" s="58" t="n">
        <v>0.55</v>
      </c>
      <c r="C6" s="59" t="n">
        <f aca="false">(1_Predpoklady!$C$5*5000*0.55+(137*1_Predpoklady!$C$30+1_Predpoklady!$C$5*1_Predpoklady!$C$9*1_Predpoklady!$C$31+73*1_Predpoklady!$C$32+1_Predpoklady!$C$34*1_Predpoklady!$C$33)-4_PnL_cielovy_stav!$D$31)/1000</f>
        <v>552.006</v>
      </c>
      <c r="D6" s="59" t="n">
        <f aca="false">(1_Predpoklady!$C$5*5500*0.55+(137*1_Predpoklady!$C$30+1_Predpoklady!$C$5*1_Predpoklady!$C$9*1_Predpoklady!$C$31+73*1_Predpoklady!$C$32+1_Predpoklady!$C$34*1_Predpoklady!$C$33)-4_PnL_cielovy_stav!$D$31)/1000</f>
        <v>651.006</v>
      </c>
      <c r="E6" s="59" t="n">
        <f aca="false">(1_Predpoklady!$C$5*6000*0.55+(137*1_Predpoklady!$C$30+1_Predpoklady!$C$5*1_Predpoklady!$C$9*1_Predpoklady!$C$31+73*1_Predpoklady!$C$32+1_Predpoklady!$C$34*1_Predpoklady!$C$33)-4_PnL_cielovy_stav!$D$31)/1000</f>
        <v>750.006</v>
      </c>
      <c r="F6" s="59" t="n">
        <f aca="false">(1_Predpoklady!$C$5*6500*0.55+(137*1_Predpoklady!$C$30+1_Predpoklady!$C$5*1_Predpoklady!$C$9*1_Predpoklady!$C$31+73*1_Predpoklady!$C$32+1_Predpoklady!$C$34*1_Predpoklady!$C$33)-4_PnL_cielovy_stav!$D$31)/1000</f>
        <v>849.006</v>
      </c>
      <c r="G6" s="59" t="n">
        <f aca="false">(1_Predpoklady!$C$5*7000*0.55+(137*1_Predpoklady!$C$30+1_Predpoklady!$C$5*1_Predpoklady!$C$9*1_Predpoklady!$C$31+73*1_Predpoklady!$C$32+1_Predpoklady!$C$34*1_Predpoklady!$C$33)-4_PnL_cielovy_stav!$D$31)/1000</f>
        <v>948.006</v>
      </c>
    </row>
    <row r="7" customFormat="false" ht="15" hidden="false" customHeight="true" outlineLevel="0" collapsed="false">
      <c r="B7" s="58" t="n">
        <v>0.65</v>
      </c>
      <c r="C7" s="59" t="n">
        <f aca="false">(1_Predpoklady!$C$5*5000*0.65+(137*1_Predpoklady!$C$30+1_Predpoklady!$C$5*1_Predpoklady!$C$9*1_Predpoklady!$C$31+73*1_Predpoklady!$C$32+1_Predpoklady!$C$34*1_Predpoklady!$C$33)-4_PnL_cielovy_stav!$D$31)/1000</f>
        <v>732.006</v>
      </c>
      <c r="D7" s="59" t="n">
        <f aca="false">(1_Predpoklady!$C$5*5500*0.65+(137*1_Predpoklady!$C$30+1_Predpoklady!$C$5*1_Predpoklady!$C$9*1_Predpoklady!$C$31+73*1_Predpoklady!$C$32+1_Predpoklady!$C$34*1_Predpoklady!$C$33)-4_PnL_cielovy_stav!$D$31)/1000</f>
        <v>849.006</v>
      </c>
      <c r="E7" s="59" t="n">
        <f aca="false">(1_Predpoklady!$C$5*6000*0.65+(137*1_Predpoklady!$C$30+1_Predpoklady!$C$5*1_Predpoklady!$C$9*1_Predpoklady!$C$31+73*1_Predpoklady!$C$32+1_Predpoklady!$C$34*1_Predpoklady!$C$33)-4_PnL_cielovy_stav!$D$31)/1000</f>
        <v>966.006</v>
      </c>
      <c r="F7" s="59" t="n">
        <f aca="false">(1_Predpoklady!$C$5*6500*0.65+(137*1_Predpoklady!$C$30+1_Predpoklady!$C$5*1_Predpoklady!$C$9*1_Predpoklady!$C$31+73*1_Predpoklady!$C$32+1_Predpoklady!$C$34*1_Predpoklady!$C$33)-4_PnL_cielovy_stav!$D$31)/1000</f>
        <v>1083.006</v>
      </c>
      <c r="G7" s="59" t="n">
        <f aca="false">(1_Predpoklady!$C$5*7000*0.65+(137*1_Predpoklady!$C$30+1_Predpoklady!$C$5*1_Predpoklady!$C$9*1_Predpoklady!$C$31+73*1_Predpoklady!$C$32+1_Predpoklady!$C$34*1_Predpoklady!$C$33)-4_PnL_cielovy_stav!$D$31)/1000</f>
        <v>1200.006</v>
      </c>
    </row>
    <row r="8" customFormat="false" ht="15" hidden="false" customHeight="true" outlineLevel="0" collapsed="false">
      <c r="B8" s="58" t="n">
        <v>0.75</v>
      </c>
      <c r="C8" s="59" t="n">
        <f aca="false">(1_Predpoklady!$C$5*5000*0.75+(137*1_Predpoklady!$C$30+1_Predpoklady!$C$5*1_Predpoklady!$C$9*1_Predpoklady!$C$31+73*1_Predpoklady!$C$32+1_Predpoklady!$C$34*1_Predpoklady!$C$33)-4_PnL_cielovy_stav!$D$31)/1000</f>
        <v>912.006</v>
      </c>
      <c r="D8" s="59" t="n">
        <f aca="false">(1_Predpoklady!$C$5*5500*0.75+(137*1_Predpoklady!$C$30+1_Predpoklady!$C$5*1_Predpoklady!$C$9*1_Predpoklady!$C$31+73*1_Predpoklady!$C$32+1_Predpoklady!$C$34*1_Predpoklady!$C$33)-4_PnL_cielovy_stav!$D$31)/1000</f>
        <v>1047.006</v>
      </c>
      <c r="E8" s="60" t="n">
        <f aca="false">(1_Predpoklady!$C$5*6000*0.75+(137*1_Predpoklady!$C$30+1_Predpoklady!$C$5*1_Predpoklady!$C$9*1_Predpoklady!$C$31+73*1_Predpoklady!$C$32+1_Predpoklady!$C$34*1_Predpoklady!$C$33)-4_PnL_cielovy_stav!$D$31)/1000</f>
        <v>1182.006</v>
      </c>
      <c r="F8" s="59" t="n">
        <f aca="false">(1_Predpoklady!$C$5*6500*0.75+(137*1_Predpoklady!$C$30+1_Predpoklady!$C$5*1_Predpoklady!$C$9*1_Predpoklady!$C$31+73*1_Predpoklady!$C$32+1_Predpoklady!$C$34*1_Predpoklady!$C$33)-4_PnL_cielovy_stav!$D$31)/1000</f>
        <v>1317.006</v>
      </c>
      <c r="G8" s="59" t="n">
        <f aca="false">(1_Predpoklady!$C$5*7000*0.75+(137*1_Predpoklady!$C$30+1_Predpoklady!$C$5*1_Predpoklady!$C$9*1_Predpoklady!$C$31+73*1_Predpoklady!$C$32+1_Predpoklady!$C$34*1_Predpoklady!$C$33)-4_PnL_cielovy_stav!$D$31)/1000</f>
        <v>1452.006</v>
      </c>
    </row>
    <row r="9" customFormat="false" ht="15" hidden="false" customHeight="true" outlineLevel="0" collapsed="false">
      <c r="B9" s="58" t="n">
        <v>0.85</v>
      </c>
      <c r="C9" s="59" t="n">
        <f aca="false">(1_Predpoklady!$C$5*5000*0.85+(137*1_Predpoklady!$C$30+1_Predpoklady!$C$5*1_Predpoklady!$C$9*1_Predpoklady!$C$31+73*1_Predpoklady!$C$32+1_Predpoklady!$C$34*1_Predpoklady!$C$33)-4_PnL_cielovy_stav!$D$31)/1000</f>
        <v>1092.006</v>
      </c>
      <c r="D9" s="59" t="n">
        <f aca="false">(1_Predpoklady!$C$5*5500*0.85+(137*1_Predpoklady!$C$30+1_Predpoklady!$C$5*1_Predpoklady!$C$9*1_Predpoklady!$C$31+73*1_Predpoklady!$C$32+1_Predpoklady!$C$34*1_Predpoklady!$C$33)-4_PnL_cielovy_stav!$D$31)/1000</f>
        <v>1245.006</v>
      </c>
      <c r="E9" s="59" t="n">
        <f aca="false">(1_Predpoklady!$C$5*6000*0.85+(137*1_Predpoklady!$C$30+1_Predpoklady!$C$5*1_Predpoklady!$C$9*1_Predpoklady!$C$31+73*1_Predpoklady!$C$32+1_Predpoklady!$C$34*1_Predpoklady!$C$33)-4_PnL_cielovy_stav!$D$31)/1000</f>
        <v>1398.006</v>
      </c>
      <c r="F9" s="59" t="n">
        <f aca="false">(1_Predpoklady!$C$5*6500*0.85+(137*1_Predpoklady!$C$30+1_Predpoklady!$C$5*1_Predpoklady!$C$9*1_Predpoklady!$C$31+73*1_Predpoklady!$C$32+1_Predpoklady!$C$34*1_Predpoklady!$C$33)-4_PnL_cielovy_stav!$D$31)/1000</f>
        <v>1551.006</v>
      </c>
      <c r="G9" s="59" t="n">
        <f aca="false">(1_Predpoklady!$C$5*7000*0.85+(137*1_Predpoklady!$C$30+1_Predpoklady!$C$5*1_Predpoklady!$C$9*1_Predpoklady!$C$31+73*1_Predpoklady!$C$32+1_Predpoklady!$C$34*1_Predpoklady!$C$33)-4_PnL_cielovy_stav!$D$31)/1000</f>
        <v>1704.006</v>
      </c>
    </row>
    <row r="10" customFormat="false" ht="15" hidden="false" customHeight="true" outlineLevel="0" collapsed="false">
      <c r="B10" s="58" t="n">
        <v>0.95</v>
      </c>
      <c r="C10" s="59" t="n">
        <f aca="false">(1_Predpoklady!$C$5*5000*0.95+(137*1_Predpoklady!$C$30+1_Predpoklady!$C$5*1_Predpoklady!$C$9*1_Predpoklady!$C$31+73*1_Predpoklady!$C$32+1_Predpoklady!$C$34*1_Predpoklady!$C$33)-4_PnL_cielovy_stav!$D$31)/1000</f>
        <v>1272.006</v>
      </c>
      <c r="D10" s="59" t="n">
        <f aca="false">(1_Predpoklady!$C$5*5500*0.95+(137*1_Predpoklady!$C$30+1_Predpoklady!$C$5*1_Predpoklady!$C$9*1_Predpoklady!$C$31+73*1_Predpoklady!$C$32+1_Predpoklady!$C$34*1_Predpoklady!$C$33)-4_PnL_cielovy_stav!$D$31)/1000</f>
        <v>1443.006</v>
      </c>
      <c r="E10" s="59" t="n">
        <f aca="false">(1_Predpoklady!$C$5*6000*0.95+(137*1_Predpoklady!$C$30+1_Predpoklady!$C$5*1_Predpoklady!$C$9*1_Predpoklady!$C$31+73*1_Predpoklady!$C$32+1_Predpoklady!$C$34*1_Predpoklady!$C$33)-4_PnL_cielovy_stav!$D$31)/1000</f>
        <v>1614.006</v>
      </c>
      <c r="F10" s="59" t="n">
        <f aca="false">(1_Predpoklady!$C$5*6500*0.95+(137*1_Predpoklady!$C$30+1_Predpoklady!$C$5*1_Predpoklady!$C$9*1_Predpoklady!$C$31+73*1_Predpoklady!$C$32+1_Predpoklady!$C$34*1_Predpoklady!$C$33)-4_PnL_cielovy_stav!$D$31)/1000</f>
        <v>1785.006</v>
      </c>
      <c r="G10" s="59" t="n">
        <f aca="false">(1_Predpoklady!$C$5*7000*0.95+(137*1_Predpoklady!$C$30+1_Predpoklady!$C$5*1_Predpoklady!$C$9*1_Predpoklady!$C$31+73*1_Predpoklady!$C$32+1_Predpoklady!$C$34*1_Predpoklady!$C$33)-4_PnL_cielovy_stav!$D$31)/1000</f>
        <v>1956.006</v>
      </c>
    </row>
    <row r="11" customFormat="false" ht="15" hidden="false" customHeight="true" outlineLevel="0" collapsed="false">
      <c r="B11" s="58" t="n">
        <v>1.05</v>
      </c>
      <c r="C11" s="59" t="n">
        <f aca="false">(1_Predpoklady!$C$5*5000*1.05+(137*1_Predpoklady!$C$30+1_Predpoklady!$C$5*1_Predpoklady!$C$9*1_Predpoklady!$C$31+73*1_Predpoklady!$C$32+1_Predpoklady!$C$34*1_Predpoklady!$C$33)-4_PnL_cielovy_stav!$D$31)/1000</f>
        <v>1452.006</v>
      </c>
      <c r="D11" s="59" t="n">
        <f aca="false">(1_Predpoklady!$C$5*5500*1.05+(137*1_Predpoklady!$C$30+1_Predpoklady!$C$5*1_Predpoklady!$C$9*1_Predpoklady!$C$31+73*1_Predpoklady!$C$32+1_Predpoklady!$C$34*1_Predpoklady!$C$33)-4_PnL_cielovy_stav!$D$31)/1000</f>
        <v>1641.006</v>
      </c>
      <c r="E11" s="59" t="n">
        <f aca="false">(1_Predpoklady!$C$5*6000*1.05+(137*1_Predpoklady!$C$30+1_Predpoklady!$C$5*1_Predpoklady!$C$9*1_Predpoklady!$C$31+73*1_Predpoklady!$C$32+1_Predpoklady!$C$34*1_Predpoklady!$C$33)-4_PnL_cielovy_stav!$D$31)/1000</f>
        <v>1830.006</v>
      </c>
      <c r="F11" s="59" t="n">
        <f aca="false">(1_Predpoklady!$C$5*6500*1.05+(137*1_Predpoklady!$C$30+1_Predpoklady!$C$5*1_Predpoklady!$C$9*1_Predpoklady!$C$31+73*1_Predpoklady!$C$32+1_Predpoklady!$C$34*1_Predpoklady!$C$33)-4_PnL_cielovy_stav!$D$31)/1000</f>
        <v>2019.006</v>
      </c>
      <c r="G11" s="59" t="n">
        <f aca="false">(1_Predpoklady!$C$5*7000*1.05+(137*1_Predpoklady!$C$30+1_Predpoklady!$C$5*1_Predpoklady!$C$9*1_Predpoklady!$C$31+73*1_Predpoklady!$C$32+1_Predpoklady!$C$34*1_Predpoklady!$C$33)-4_PnL_cielovy_stav!$D$31)/1000</f>
        <v>2208.006</v>
      </c>
    </row>
    <row r="12" customFormat="false" ht="15" hidden="false" customHeight="true" outlineLevel="0" collapsed="false">
      <c r="B12" s="58" t="n">
        <v>1.15</v>
      </c>
      <c r="C12" s="59" t="n">
        <f aca="false">(1_Predpoklady!$C$5*5000*1.15+(137*1_Predpoklady!$C$30+1_Predpoklady!$C$5*1_Predpoklady!$C$9*1_Predpoklady!$C$31+73*1_Predpoklady!$C$32+1_Predpoklady!$C$34*1_Predpoklady!$C$33)-4_PnL_cielovy_stav!$D$31)/1000</f>
        <v>1632.006</v>
      </c>
      <c r="D12" s="59" t="n">
        <f aca="false">(1_Predpoklady!$C$5*5500*1.15+(137*1_Predpoklady!$C$30+1_Predpoklady!$C$5*1_Predpoklady!$C$9*1_Predpoklady!$C$31+73*1_Predpoklady!$C$32+1_Predpoklady!$C$34*1_Predpoklady!$C$33)-4_PnL_cielovy_stav!$D$31)/1000</f>
        <v>1839.006</v>
      </c>
      <c r="E12" s="59" t="n">
        <f aca="false">(1_Predpoklady!$C$5*6000*1.15+(137*1_Predpoklady!$C$30+1_Predpoklady!$C$5*1_Predpoklady!$C$9*1_Predpoklady!$C$31+73*1_Predpoklady!$C$32+1_Predpoklady!$C$34*1_Predpoklady!$C$33)-4_PnL_cielovy_stav!$D$31)/1000</f>
        <v>2046.006</v>
      </c>
      <c r="F12" s="59" t="n">
        <f aca="false">(1_Predpoklady!$C$5*6500*1.15+(137*1_Predpoklady!$C$30+1_Predpoklady!$C$5*1_Predpoklady!$C$9*1_Predpoklady!$C$31+73*1_Predpoklady!$C$32+1_Predpoklady!$C$34*1_Predpoklady!$C$33)-4_PnL_cielovy_stav!$D$31)/1000</f>
        <v>2253.006</v>
      </c>
      <c r="G12" s="59" t="n">
        <f aca="false">(1_Predpoklady!$C$5*7000*1.15+(137*1_Predpoklady!$C$30+1_Predpoklady!$C$5*1_Predpoklady!$C$9*1_Predpoklady!$C$31+73*1_Predpoklady!$C$32+1_Predpoklady!$C$34*1_Predpoklady!$C$33)-4_PnL_cielovy_stav!$D$31)/1000</f>
        <v>2460.006</v>
      </c>
    </row>
    <row r="14" customFormat="false" ht="15" hidden="false" customHeight="true" outlineLevel="0" collapsed="false">
      <c r="B14" s="3" t="s">
        <v>361</v>
      </c>
      <c r="C14" s="3"/>
      <c r="D14" s="3"/>
      <c r="E14" s="3"/>
      <c r="F14" s="3"/>
      <c r="G14" s="3"/>
      <c r="H14" s="3"/>
      <c r="I14" s="3"/>
    </row>
    <row r="16" customFormat="false" ht="15" hidden="false" customHeight="true" outlineLevel="0" collapsed="false">
      <c r="B16" s="17" t="s">
        <v>362</v>
      </c>
      <c r="C16" s="17"/>
      <c r="D16" s="17"/>
      <c r="E16" s="17"/>
      <c r="F16" s="17"/>
      <c r="G16" s="17"/>
      <c r="H16" s="17"/>
      <c r="I16" s="17"/>
    </row>
    <row r="17" customFormat="false" ht="30" hidden="false" customHeight="true" outlineLevel="0" collapsed="false">
      <c r="B17" s="56" t="s">
        <v>363</v>
      </c>
      <c r="C17" s="57" t="n">
        <v>5000</v>
      </c>
      <c r="D17" s="57" t="n">
        <v>5500</v>
      </c>
      <c r="E17" s="57" t="n">
        <v>6000</v>
      </c>
      <c r="F17" s="57" t="n">
        <v>6500</v>
      </c>
      <c r="G17" s="57" t="n">
        <v>7000</v>
      </c>
    </row>
    <row r="18" customFormat="false" ht="15" hidden="false" customHeight="true" outlineLevel="0" collapsed="false">
      <c r="B18" s="58" t="n">
        <v>0.55</v>
      </c>
      <c r="C18" s="61" t="n">
        <f aca="false">IFERROR((1_Predpoklady!$C$5*5000*0.55+(137*1_Predpoklady!$C$30+1_Predpoklady!$C$5*1_Predpoklady!$C$9*1_Predpoklady!$C$31+73*1_Predpoklady!$C$32+1_Predpoklady!$C$34*1_Predpoklady!$C$33)-4_PnL_cielovy_stav!$D$31)/(1_Predpoklady!$C$5*5000*0.55+(137*1_Predpoklady!$C$30+1_Predpoklady!$C$5*1_Predpoklady!$C$9*1_Predpoklady!$C$31+73*1_Predpoklady!$C$32+1_Predpoklady!$C$34*1_Predpoklady!$C$33)),0)</f>
        <v>0.39617465945139</v>
      </c>
      <c r="D18" s="61" t="n">
        <f aca="false">IFERROR((1_Predpoklady!$C$5*5500*0.55+(137*1_Predpoklady!$C$30+1_Predpoklady!$C$5*1_Predpoklady!$C$9*1_Predpoklady!$C$31+73*1_Predpoklady!$C$32+1_Predpoklady!$C$34*1_Predpoklady!$C$33)-4_PnL_cielovy_stav!$D$31)/(1_Predpoklady!$C$5*5500*0.55+(137*1_Predpoklady!$C$30+1_Predpoklady!$C$5*1_Predpoklady!$C$9*1_Predpoklady!$C$31+73*1_Predpoklady!$C$32+1_Predpoklady!$C$34*1_Predpoklady!$C$33)),0)</f>
        <v>0.436231689829395</v>
      </c>
      <c r="E18" s="61" t="n">
        <f aca="false">IFERROR((1_Predpoklady!$C$5*6000*0.55+(137*1_Predpoklady!$C$30+1_Predpoklady!$C$5*1_Predpoklady!$C$9*1_Predpoklady!$C$31+73*1_Predpoklady!$C$32+1_Predpoklady!$C$34*1_Predpoklady!$C$33)-4_PnL_cielovy_stav!$D$31)/(1_Predpoklady!$C$5*6000*0.55+(137*1_Predpoklady!$C$30+1_Predpoklady!$C$5*1_Predpoklady!$C$9*1_Predpoklady!$C$31+73*1_Predpoklady!$C$32+1_Predpoklady!$C$34*1_Predpoklady!$C$33)),0)</f>
        <v>0.471304686616311</v>
      </c>
      <c r="F18" s="61" t="n">
        <f aca="false">IFERROR((1_Predpoklady!$C$5*6500*0.55+(137*1_Predpoklady!$C$30+1_Predpoklady!$C$5*1_Predpoklady!$C$9*1_Predpoklady!$C$31+73*1_Predpoklady!$C$32+1_Predpoklady!$C$34*1_Predpoklady!$C$33)-4_PnL_cielovy_stav!$D$31)/(1_Predpoklady!$C$5*6500*0.55+(137*1_Predpoklady!$C$30+1_Predpoklady!$C$5*1_Predpoklady!$C$9*1_Predpoklady!$C$31+73*1_Predpoklady!$C$32+1_Predpoklady!$C$34*1_Predpoklady!$C$33)),0)</f>
        <v>0.502269365926382</v>
      </c>
      <c r="G18" s="61" t="n">
        <f aca="false">IFERROR((1_Predpoklady!$C$5*7000*0.55+(137*1_Predpoklady!$C$30+1_Predpoklady!$C$5*1_Predpoklady!$C$9*1_Predpoklady!$C$31+73*1_Predpoklady!$C$32+1_Predpoklady!$C$34*1_Predpoklady!$C$33)-4_PnL_cielovy_stav!$D$31)/(1_Predpoklady!$C$5*7000*0.55+(137*1_Predpoklady!$C$30+1_Predpoklady!$C$5*1_Predpoklady!$C$9*1_Predpoklady!$C$31+73*1_Predpoklady!$C$32+1_Predpoklady!$C$34*1_Predpoklady!$C$33)),0)</f>
        <v>0.529807638570646</v>
      </c>
    </row>
    <row r="19" customFormat="false" ht="15" hidden="false" customHeight="true" outlineLevel="0" collapsed="false">
      <c r="B19" s="58" t="n">
        <v>0.65</v>
      </c>
      <c r="C19" s="61" t="n">
        <f aca="false">IFERROR((1_Predpoklady!$C$5*5000*0.65+(137*1_Predpoklady!$C$30+1_Predpoklady!$C$5*1_Predpoklady!$C$9*1_Predpoklady!$C$31+73*1_Predpoklady!$C$32+1_Predpoklady!$C$34*1_Predpoklady!$C$33)-4_PnL_cielovy_stav!$D$31)/(1_Predpoklady!$C$5*5000*0.65+(137*1_Predpoklady!$C$30+1_Predpoklady!$C$5*1_Predpoklady!$C$9*1_Predpoklady!$C$31+73*1_Predpoklady!$C$32+1_Predpoklady!$C$34*1_Predpoklady!$C$33)),0)</f>
        <v>0.465256079423392</v>
      </c>
      <c r="D19" s="61" t="n">
        <f aca="false">IFERROR((1_Predpoklady!$C$5*5500*0.65+(137*1_Predpoklady!$C$30+1_Predpoklady!$C$5*1_Predpoklady!$C$9*1_Predpoklady!$C$31+73*1_Predpoklady!$C$32+1_Predpoklady!$C$34*1_Predpoklady!$C$33)-4_PnL_cielovy_stav!$D$31)/(1_Predpoklady!$C$5*5500*0.65+(137*1_Predpoklady!$C$30+1_Predpoklady!$C$5*1_Predpoklady!$C$9*1_Predpoklady!$C$31+73*1_Predpoklady!$C$32+1_Predpoklady!$C$34*1_Predpoklady!$C$33)),0)</f>
        <v>0.502269365926382</v>
      </c>
      <c r="E19" s="61" t="n">
        <f aca="false">IFERROR((1_Predpoklady!$C$5*6000*0.65+(137*1_Predpoklady!$C$30+1_Predpoklady!$C$5*1_Predpoklady!$C$9*1_Predpoklady!$C$31+73*1_Predpoklady!$C$32+1_Predpoklady!$C$34*1_Predpoklady!$C$33)-4_PnL_cielovy_stav!$D$31)/(1_Predpoklady!$C$5*6000*0.65+(137*1_Predpoklady!$C$30+1_Predpoklady!$C$5*1_Predpoklady!$C$9*1_Predpoklady!$C$31+73*1_Predpoklady!$C$32+1_Predpoklady!$C$34*1_Predpoklady!$C$33)),0)</f>
        <v>0.53449046665265</v>
      </c>
      <c r="F19" s="61" t="n">
        <f aca="false">IFERROR((1_Predpoklady!$C$5*6500*0.65+(137*1_Predpoklady!$C$30+1_Predpoklady!$C$5*1_Predpoklady!$C$9*1_Predpoklady!$C$31+73*1_Predpoklady!$C$32+1_Predpoklady!$C$34*1_Predpoklady!$C$33)-4_PnL_cielovy_stav!$D$31)/(1_Predpoklady!$C$5*6500*0.65+(137*1_Predpoklady!$C$30+1_Predpoklady!$C$5*1_Predpoklady!$C$9*1_Predpoklady!$C$31+73*1_Predpoklady!$C$32+1_Predpoklady!$C$34*1_Predpoklady!$C$33)),0)</f>
        <v>0.562793477244146</v>
      </c>
      <c r="G19" s="61" t="n">
        <f aca="false">IFERROR((1_Predpoklady!$C$5*7000*0.65+(137*1_Predpoklady!$C$30+1_Predpoklady!$C$5*1_Predpoklady!$C$9*1_Predpoklady!$C$31+73*1_Predpoklady!$C$32+1_Predpoklady!$C$34*1_Predpoklady!$C$33)-4_PnL_cielovy_stav!$D$31)/(1_Predpoklady!$C$5*7000*0.65+(137*1_Predpoklady!$C$30+1_Predpoklady!$C$5*1_Predpoklady!$C$9*1_Predpoklady!$C$31+73*1_Predpoklady!$C$32+1_Predpoklady!$C$34*1_Predpoklady!$C$33)),0)</f>
        <v>0.587852097151871</v>
      </c>
    </row>
    <row r="20" customFormat="false" ht="15" hidden="false" customHeight="true" outlineLevel="0" collapsed="false">
      <c r="B20" s="58" t="n">
        <v>0.75</v>
      </c>
      <c r="C20" s="61" t="n">
        <f aca="false">IFERROR((1_Predpoklady!$C$5*5000*0.75+(137*1_Predpoklady!$C$30+1_Predpoklady!$C$5*1_Predpoklady!$C$9*1_Predpoklady!$C$31+73*1_Predpoklady!$C$32+1_Predpoklady!$C$34*1_Predpoklady!$C$33)-4_PnL_cielovy_stav!$D$31)/(1_Predpoklady!$C$5*5000*0.75+(137*1_Predpoklady!$C$30+1_Predpoklady!$C$5*1_Predpoklady!$C$9*1_Predpoklady!$C$31+73*1_Predpoklady!$C$32+1_Predpoklady!$C$34*1_Predpoklady!$C$33)),0)</f>
        <v>0.520153535537888</v>
      </c>
      <c r="D20" s="61" t="n">
        <f aca="false">IFERROR((1_Predpoklady!$C$5*5500*0.75+(137*1_Predpoklady!$C$30+1_Predpoklady!$C$5*1_Predpoklady!$C$9*1_Predpoklady!$C$31+73*1_Predpoklady!$C$32+1_Predpoklady!$C$34*1_Predpoklady!$C$33)-4_PnL_cielovy_stav!$D$31)/(1_Predpoklady!$C$5*5500*0.75+(137*1_Predpoklady!$C$30+1_Predpoklady!$C$5*1_Predpoklady!$C$9*1_Predpoklady!$C$31+73*1_Predpoklady!$C$32+1_Predpoklady!$C$34*1_Predpoklady!$C$33)),0)</f>
        <v>0.554458413209486</v>
      </c>
      <c r="E20" s="61" t="n">
        <f aca="false">IFERROR((1_Predpoklady!$C$5*6000*0.75+(137*1_Predpoklady!$C$30+1_Predpoklady!$C$5*1_Predpoklady!$C$9*1_Predpoklady!$C$31+73*1_Predpoklady!$C$32+1_Predpoklady!$C$34*1_Predpoklady!$C$33)-4_PnL_cielovy_stav!$D$31)/(1_Predpoklady!$C$5*6000*0.75+(137*1_Predpoklady!$C$30+1_Predpoklady!$C$5*1_Predpoklady!$C$9*1_Predpoklady!$C$31+73*1_Predpoklady!$C$32+1_Predpoklady!$C$34*1_Predpoklady!$C$33)),0)</f>
        <v>0.584185554578074</v>
      </c>
      <c r="F20" s="61" t="n">
        <f aca="false">IFERROR((1_Predpoklady!$C$5*6500*0.75+(137*1_Predpoklady!$C$30+1_Predpoklady!$C$5*1_Predpoklady!$C$9*1_Predpoklady!$C$31+73*1_Predpoklady!$C$32+1_Predpoklady!$C$34*1_Predpoklady!$C$33)-4_PnL_cielovy_stav!$D$31)/(1_Predpoklady!$C$5*6500*0.75+(137*1_Predpoklady!$C$30+1_Predpoklady!$C$5*1_Predpoklady!$C$9*1_Predpoklady!$C$31+73*1_Predpoklady!$C$32+1_Predpoklady!$C$34*1_Predpoklady!$C$33)),0)</f>
        <v>0.610193945346887</v>
      </c>
      <c r="G20" s="61" t="n">
        <f aca="false">IFERROR((1_Predpoklady!$C$5*7000*0.75+(137*1_Predpoklady!$C$30+1_Predpoklady!$C$5*1_Predpoklady!$C$9*1_Predpoklady!$C$31+73*1_Predpoklady!$C$32+1_Predpoklady!$C$34*1_Predpoklady!$C$33)-4_PnL_cielovy_stav!$D$31)/(1_Predpoklady!$C$5*7000*0.75+(137*1_Predpoklady!$C$30+1_Predpoklady!$C$5*1_Predpoklady!$C$9*1_Predpoklady!$C$31+73*1_Predpoklady!$C$32+1_Predpoklady!$C$34*1_Predpoklady!$C$33)),0)</f>
        <v>0.633140310638632</v>
      </c>
    </row>
    <row r="21" customFormat="false" ht="15" hidden="false" customHeight="true" outlineLevel="0" collapsed="false">
      <c r="B21" s="58" t="n">
        <v>0.85</v>
      </c>
      <c r="C21" s="61" t="n">
        <f aca="false">IFERROR((1_Predpoklady!$C$5*5000*0.85+(137*1_Predpoklady!$C$30+1_Predpoklady!$C$5*1_Predpoklady!$C$9*1_Predpoklady!$C$31+73*1_Predpoklady!$C$32+1_Predpoklady!$C$34*1_Predpoklady!$C$33)-4_PnL_cielovy_stav!$D$31)/(1_Predpoklady!$C$5*5000*0.85+(137*1_Predpoklady!$C$30+1_Predpoklady!$C$5*1_Predpoklady!$C$9*1_Predpoklady!$C$31+73*1_Predpoklady!$C$32+1_Predpoklady!$C$34*1_Predpoklady!$C$33)),0)</f>
        <v>0.564828741969855</v>
      </c>
      <c r="D21" s="61" t="n">
        <f aca="false">IFERROR((1_Predpoklady!$C$5*5500*0.85+(137*1_Predpoklady!$C$30+1_Predpoklady!$C$5*1_Predpoklady!$C$9*1_Predpoklady!$C$31+73*1_Predpoklady!$C$32+1_Predpoklady!$C$34*1_Predpoklady!$C$33)-4_PnL_cielovy_stav!$D$31)/(1_Predpoklady!$C$5*5500*0.85+(137*1_Predpoklady!$C$30+1_Predpoklady!$C$5*1_Predpoklady!$C$9*1_Predpoklady!$C$31+73*1_Predpoklady!$C$32+1_Predpoklady!$C$34*1_Predpoklady!$C$33)),0)</f>
        <v>0.596741662432777</v>
      </c>
      <c r="E21" s="61" t="n">
        <f aca="false">IFERROR((1_Predpoklady!$C$5*6000*0.85+(137*1_Predpoklady!$C$30+1_Predpoklady!$C$5*1_Predpoklady!$C$9*1_Predpoklady!$C$31+73*1_Predpoklady!$C$32+1_Predpoklady!$C$34*1_Predpoklady!$C$33)-4_PnL_cielovy_stav!$D$31)/(1_Predpoklady!$C$5*6000*0.85+(137*1_Predpoklady!$C$30+1_Predpoklady!$C$5*1_Predpoklady!$C$9*1_Predpoklady!$C$31+73*1_Predpoklady!$C$32+1_Predpoklady!$C$34*1_Predpoklady!$C$33)),0)</f>
        <v>0.624293765127225</v>
      </c>
      <c r="F21" s="61" t="n">
        <f aca="false">IFERROR((1_Predpoklady!$C$5*6500*0.85+(137*1_Predpoklady!$C$30+1_Predpoklady!$C$5*1_Predpoklady!$C$9*1_Predpoklady!$C$31+73*1_Predpoklady!$C$32+1_Predpoklady!$C$34*1_Predpoklady!$C$33)-4_PnL_cielovy_stav!$D$31)/(1_Predpoklady!$C$5*6500*0.85+(137*1_Predpoklady!$C$30+1_Predpoklady!$C$5*1_Predpoklady!$C$9*1_Predpoklady!$C$31+73*1_Predpoklady!$C$32+1_Predpoklady!$C$34*1_Predpoklady!$C$33)),0)</f>
        <v>0.648321726844847</v>
      </c>
      <c r="G21" s="61" t="n">
        <f aca="false">IFERROR((1_Predpoklady!$C$5*7000*0.85+(137*1_Predpoklady!$C$30+1_Predpoklady!$C$5*1_Predpoklady!$C$9*1_Predpoklady!$C$31+73*1_Predpoklady!$C$32+1_Predpoklady!$C$34*1_Predpoklady!$C$33)-4_PnL_cielovy_stav!$D$31)/(1_Predpoklady!$C$5*7000*0.85+(137*1_Predpoklady!$C$30+1_Predpoklady!$C$5*1_Predpoklady!$C$9*1_Predpoklady!$C$31+73*1_Predpoklady!$C$32+1_Predpoklady!$C$34*1_Predpoklady!$C$33)),0)</f>
        <v>0.669461054318873</v>
      </c>
    </row>
    <row r="22" customFormat="false" ht="15" hidden="false" customHeight="true" outlineLevel="0" collapsed="false">
      <c r="B22" s="58" t="n">
        <v>0.95</v>
      </c>
      <c r="C22" s="61" t="n">
        <f aca="false">IFERROR((1_Predpoklady!$C$5*5000*0.95+(137*1_Predpoklady!$C$30+1_Predpoklady!$C$5*1_Predpoklady!$C$9*1_Predpoklady!$C$31+73*1_Predpoklady!$C$32+1_Predpoklady!$C$34*1_Predpoklady!$C$33)-4_PnL_cielovy_stav!$D$31)/(1_Predpoklady!$C$5*5000*0.95+(137*1_Predpoklady!$C$30+1_Predpoklady!$C$5*1_Predpoklady!$C$9*1_Predpoklady!$C$31+73*1_Predpoklady!$C$32+1_Predpoklady!$C$34*1_Predpoklady!$C$33)),0)</f>
        <v>0.601893684877966</v>
      </c>
      <c r="D22" s="61" t="n">
        <f aca="false">IFERROR((1_Predpoklady!$C$5*5500*0.95+(137*1_Predpoklady!$C$30+1_Predpoklady!$C$5*1_Predpoklady!$C$9*1_Predpoklady!$C$31+73*1_Predpoklady!$C$32+1_Predpoklady!$C$34*1_Predpoklady!$C$33)-4_PnL_cielovy_stav!$D$31)/(1_Predpoklady!$C$5*5500*0.95+(137*1_Predpoklady!$C$30+1_Predpoklady!$C$5*1_Predpoklady!$C$9*1_Predpoklady!$C$31+73*1_Predpoklady!$C$32+1_Predpoklady!$C$34*1_Predpoklady!$C$33)),0)</f>
        <v>0.631694931577611</v>
      </c>
      <c r="E22" s="61" t="n">
        <f aca="false">IFERROR((1_Predpoklady!$C$5*6000*0.95+(137*1_Predpoklady!$C$30+1_Predpoklady!$C$5*1_Predpoklady!$C$9*1_Predpoklady!$C$31+73*1_Predpoklady!$C$32+1_Predpoklady!$C$34*1_Predpoklady!$C$33)-4_PnL_cielovy_stav!$D$31)/(1_Predpoklady!$C$5*6000*0.95+(137*1_Predpoklady!$C$30+1_Predpoklady!$C$5*1_Predpoklady!$C$9*1_Predpoklady!$C$31+73*1_Predpoklady!$C$32+1_Predpoklady!$C$34*1_Predpoklady!$C$33)),0)</f>
        <v>0.657345214919319</v>
      </c>
      <c r="F22" s="61" t="n">
        <f aca="false">IFERROR((1_Predpoklady!$C$5*6500*0.95+(137*1_Predpoklady!$C$30+1_Predpoklady!$C$5*1_Predpoklady!$C$9*1_Predpoklady!$C$31+73*1_Predpoklady!$C$32+1_Predpoklady!$C$34*1_Predpoklady!$C$33)-4_PnL_cielovy_stav!$D$31)/(1_Predpoklady!$C$5*6500*0.95+(137*1_Predpoklady!$C$30+1_Predpoklady!$C$5*1_Predpoklady!$C$9*1_Predpoklady!$C$31+73*1_Predpoklady!$C$32+1_Predpoklady!$C$34*1_Predpoklady!$C$33)),0)</f>
        <v>0.679655337846585</v>
      </c>
      <c r="G22" s="61" t="n">
        <f aca="false">IFERROR((1_Predpoklady!$C$5*7000*0.95+(137*1_Predpoklady!$C$30+1_Predpoklady!$C$5*1_Predpoklady!$C$9*1_Predpoklady!$C$31+73*1_Predpoklady!$C$32+1_Predpoklady!$C$34*1_Predpoklady!$C$33)-4_PnL_cielovy_stav!$D$31)/(1_Predpoklady!$C$5*7000*0.95+(137*1_Predpoklady!$C$30+1_Predpoklady!$C$5*1_Predpoklady!$C$9*1_Predpoklady!$C$31+73*1_Predpoklady!$C$32+1_Predpoklady!$C$34*1_Predpoklady!$C$33)),0)</f>
        <v>0.699237847383586</v>
      </c>
    </row>
    <row r="23" customFormat="false" ht="15" hidden="false" customHeight="true" outlineLevel="0" collapsed="false">
      <c r="B23" s="58" t="n">
        <v>1.05</v>
      </c>
      <c r="C23" s="61" t="n">
        <f aca="false">IFERROR((1_Predpoklady!$C$5*5000*1.05+(137*1_Predpoklady!$C$30+1_Predpoklady!$C$5*1_Predpoklady!$C$9*1_Predpoklady!$C$31+73*1_Predpoklady!$C$32+1_Predpoklady!$C$34*1_Predpoklady!$C$33)-4_PnL_cielovy_stav!$D$31)/(1_Predpoklady!$C$5*5000*1.05+(137*1_Predpoklady!$C$30+1_Predpoklady!$C$5*1_Predpoklady!$C$9*1_Predpoklady!$C$31+73*1_Predpoklady!$C$32+1_Predpoklady!$C$34*1_Predpoklady!$C$33)),0)</f>
        <v>0.633140310638632</v>
      </c>
      <c r="D23" s="61" t="n">
        <f aca="false">IFERROR((1_Predpoklady!$C$5*5500*1.05+(137*1_Predpoklady!$C$30+1_Predpoklady!$C$5*1_Predpoklady!$C$9*1_Predpoklady!$C$31+73*1_Predpoklady!$C$32+1_Predpoklady!$C$34*1_Predpoklady!$C$33)-4_PnL_cielovy_stav!$D$31)/(1_Predpoklady!$C$5*5500*1.05+(137*1_Predpoklady!$C$30+1_Predpoklady!$C$5*1_Predpoklady!$C$9*1_Predpoklady!$C$31+73*1_Predpoklady!$C$32+1_Predpoklady!$C$34*1_Predpoklady!$C$33)),0)</f>
        <v>0.661072214120548</v>
      </c>
      <c r="E23" s="61" t="n">
        <f aca="false">IFERROR((1_Predpoklady!$C$5*6000*1.05+(137*1_Predpoklady!$C$30+1_Predpoklady!$C$5*1_Predpoklady!$C$9*1_Predpoklady!$C$31+73*1_Predpoklady!$C$32+1_Predpoklady!$C$34*1_Predpoklady!$C$33)-4_PnL_cielovy_stav!$D$31)/(1_Predpoklady!$C$5*6000*1.05+(137*1_Predpoklady!$C$30+1_Predpoklady!$C$5*1_Predpoklady!$C$9*1_Predpoklady!$C$31+73*1_Predpoklady!$C$32+1_Predpoklady!$C$34*1_Predpoklady!$C$33)),0)</f>
        <v>0.685051696901181</v>
      </c>
      <c r="F23" s="61" t="n">
        <f aca="false">IFERROR((1_Predpoklady!$C$5*6500*1.05+(137*1_Predpoklady!$C$30+1_Predpoklady!$C$5*1_Predpoklady!$C$9*1_Predpoklady!$C$31+73*1_Predpoklady!$C$32+1_Predpoklady!$C$34*1_Predpoklady!$C$33)-4_PnL_cielovy_stav!$D$31)/(1_Predpoklady!$C$5*6500*1.05+(137*1_Predpoklady!$C$30+1_Predpoklady!$C$5*1_Predpoklady!$C$9*1_Predpoklady!$C$31+73*1_Predpoklady!$C$32+1_Predpoklady!$C$34*1_Predpoklady!$C$33)),0)</f>
        <v>0.705862240153269</v>
      </c>
      <c r="G23" s="61" t="n">
        <f aca="false">IFERROR((1_Predpoklady!$C$5*7000*1.05+(137*1_Predpoklady!$C$30+1_Predpoklady!$C$5*1_Predpoklady!$C$9*1_Predpoklady!$C$31+73*1_Predpoklady!$C$32+1_Predpoklady!$C$34*1_Predpoklady!$C$33)-4_PnL_cielovy_stav!$D$31)/(1_Predpoklady!$C$5*7000*1.05+(137*1_Predpoklady!$C$30+1_Predpoklady!$C$5*1_Predpoklady!$C$9*1_Predpoklady!$C$31+73*1_Predpoklady!$C$32+1_Predpoklady!$C$34*1_Predpoklady!$C$33)),0)</f>
        <v>0.724093082437511</v>
      </c>
    </row>
    <row r="24" customFormat="false" ht="15" hidden="false" customHeight="true" outlineLevel="0" collapsed="false">
      <c r="B24" s="58" t="n">
        <v>1.15</v>
      </c>
      <c r="C24" s="61" t="n">
        <f aca="false">IFERROR((1_Predpoklady!$C$5*5000*1.15+(137*1_Predpoklady!$C$30+1_Predpoklady!$C$5*1_Predpoklady!$C$9*1_Predpoklady!$C$31+73*1_Predpoklady!$C$32+1_Predpoklady!$C$34*1_Predpoklady!$C$33)-4_PnL_cielovy_stav!$D$31)/(1_Predpoklady!$C$5*5000*1.15+(137*1_Predpoklady!$C$30+1_Predpoklady!$C$5*1_Predpoklady!$C$9*1_Predpoklady!$C$31+73*1_Predpoklady!$C$32+1_Predpoklady!$C$34*1_Predpoklady!$C$33)),0)</f>
        <v>0.659838922267056</v>
      </c>
      <c r="D24" s="61" t="n">
        <f aca="false">IFERROR((1_Predpoklady!$C$5*5500*1.15+(137*1_Predpoklady!$C$30+1_Predpoklady!$C$5*1_Predpoklady!$C$9*1_Predpoklady!$C$31+73*1_Predpoklady!$C$32+1_Predpoklady!$C$34*1_Predpoklady!$C$33)-4_PnL_cielovy_stav!$D$31)/(1_Predpoklady!$C$5*5500*1.15+(137*1_Predpoklady!$C$30+1_Predpoklady!$C$5*1_Predpoklady!$C$9*1_Predpoklady!$C$31+73*1_Predpoklady!$C$32+1_Predpoklady!$C$34*1_Predpoklady!$C$33)),0)</f>
        <v>0.686109224949074</v>
      </c>
      <c r="E24" s="61" t="n">
        <f aca="false">IFERROR((1_Predpoklady!$C$5*6000*1.15+(137*1_Predpoklady!$C$30+1_Predpoklady!$C$5*1_Predpoklady!$C$9*1_Predpoklady!$C$31+73*1_Predpoklady!$C$32+1_Predpoklady!$C$34*1_Predpoklady!$C$33)-4_PnL_cielovy_stav!$D$31)/(1_Predpoklady!$C$5*6000*1.15+(137*1_Predpoklady!$C$30+1_Predpoklady!$C$5*1_Predpoklady!$C$9*1_Predpoklady!$C$31+73*1_Predpoklady!$C$32+1_Predpoklady!$C$34*1_Predpoklady!$C$33)),0)</f>
        <v>0.708612771616782</v>
      </c>
      <c r="F24" s="61" t="n">
        <f aca="false">IFERROR((1_Predpoklady!$C$5*6500*1.15+(137*1_Predpoklady!$C$30+1_Predpoklady!$C$5*1_Predpoklady!$C$9*1_Predpoklady!$C$31+73*1_Predpoklady!$C$32+1_Predpoklady!$C$34*1_Predpoklady!$C$33)-4_PnL_cielovy_stav!$D$31)/(1_Predpoklady!$C$5*6500*1.15+(137*1_Predpoklady!$C$30+1_Predpoklady!$C$5*1_Predpoklady!$C$9*1_Predpoklady!$C$31+73*1_Predpoklady!$C$32+1_Predpoklady!$C$34*1_Predpoklady!$C$33)),0)</f>
        <v>0.728105508767621</v>
      </c>
      <c r="G24" s="61" t="n">
        <f aca="false">IFERROR((1_Predpoklady!$C$5*7000*1.15+(137*1_Predpoklady!$C$30+1_Predpoklady!$C$5*1_Predpoklady!$C$9*1_Predpoklady!$C$31+73*1_Predpoklady!$C$32+1_Predpoklady!$C$34*1_Predpoklady!$C$33)-4_PnL_cielovy_stav!$D$31)/(1_Predpoklady!$C$5*7000*1.15+(137*1_Predpoklady!$C$30+1_Predpoklady!$C$5*1_Predpoklady!$C$9*1_Predpoklady!$C$31+73*1_Predpoklady!$C$32+1_Predpoklady!$C$34*1_Predpoklady!$C$33)),0)</f>
        <v>0.745153786038397</v>
      </c>
    </row>
    <row r="27" customFormat="false" ht="15" hidden="false" customHeight="true" outlineLevel="0" collapsed="false">
      <c r="B27" s="17" t="s">
        <v>364</v>
      </c>
      <c r="C27" s="17"/>
      <c r="D27" s="17"/>
      <c r="E27" s="17"/>
      <c r="F27" s="17"/>
      <c r="G27" s="17"/>
      <c r="H27" s="17"/>
      <c r="I27" s="17"/>
    </row>
    <row r="28" customFormat="false" ht="30" hidden="false" customHeight="true" outlineLevel="0" collapsed="false">
      <c r="B28" s="56" t="s">
        <v>363</v>
      </c>
      <c r="C28" s="57" t="n">
        <v>5000</v>
      </c>
      <c r="D28" s="57" t="n">
        <v>5500</v>
      </c>
      <c r="E28" s="57" t="n">
        <v>6000</v>
      </c>
      <c r="F28" s="57" t="n">
        <v>6500</v>
      </c>
      <c r="G28" s="57" t="n">
        <v>7000</v>
      </c>
    </row>
    <row r="29" customFormat="false" ht="15" hidden="false" customHeight="true" outlineLevel="0" collapsed="false">
      <c r="B29" s="58" t="n">
        <v>0.55</v>
      </c>
      <c r="C29" s="62" t="n">
        <f aca="false">IFERROR(5_CAPEX!$F$30/MAX(1_Predpoklady!$C$5*5000*0.55+(137*1_Predpoklady!$C$30+1_Predpoklady!$C$5*1_Predpoklady!$C$9*1_Predpoklady!$C$31+73*1_Predpoklady!$C$32+1_Predpoklady!$C$34*1_Predpoklady!$C$33)-4_PnL_cielovy_stav!$D$31,1),99)</f>
        <v>12.2063890609885</v>
      </c>
      <c r="D29" s="62" t="n">
        <f aca="false">IFERROR(5_CAPEX!$F$30/MAX(1_Predpoklady!$C$5*5500*0.55+(137*1_Predpoklady!$C$30+1_Predpoklady!$C$5*1_Predpoklady!$C$9*1_Predpoklady!$C$31+73*1_Predpoklady!$C$32+1_Predpoklady!$C$34*1_Predpoklady!$C$33)-4_PnL_cielovy_stav!$D$31,1),99)</f>
        <v>10.350135021797</v>
      </c>
      <c r="E29" s="62" t="n">
        <f aca="false">IFERROR(5_CAPEX!$F$30/MAX(1_Predpoklady!$C$5*6000*0.55+(137*1_Predpoklady!$C$30+1_Predpoklady!$C$5*1_Predpoklady!$C$9*1_Predpoklady!$C$31+73*1_Predpoklady!$C$32+1_Predpoklady!$C$34*1_Predpoklady!$C$33)-4_PnL_cielovy_stav!$D$31,1),99)</f>
        <v>8.98392812857497</v>
      </c>
      <c r="F29" s="62" t="n">
        <f aca="false">IFERROR(5_CAPEX!$F$30/MAX(1_Predpoklady!$C$5*6500*0.55+(137*1_Predpoklady!$C$30+1_Predpoklady!$C$5*1_Predpoklady!$C$9*1_Predpoklady!$C$31+73*1_Predpoklady!$C$32+1_Predpoklady!$C$34*1_Predpoklady!$C$33)-4_PnL_cielovy_stav!$D$31,1),99)</f>
        <v>7.93633967251115</v>
      </c>
      <c r="G29" s="62" t="n">
        <f aca="false">IFERROR(5_CAPEX!$F$30/MAX(1_Predpoklady!$C$5*7000*0.55+(137*1_Predpoklady!$C$30+1_Predpoklady!$C$5*1_Predpoklady!$C$9*1_Predpoklady!$C$31+73*1_Predpoklady!$C$32+1_Predpoklady!$C$34*1_Predpoklady!$C$33)-4_PnL_cielovy_stav!$D$31,1),99)</f>
        <v>7.10754995221549</v>
      </c>
    </row>
    <row r="30" customFormat="false" ht="15" hidden="false" customHeight="true" outlineLevel="0" collapsed="false">
      <c r="B30" s="58" t="n">
        <v>0.65</v>
      </c>
      <c r="C30" s="62" t="n">
        <f aca="false">IFERROR(5_CAPEX!$F$30/MAX(1_Predpoklady!$C$5*5000*0.65+(137*1_Predpoklady!$C$30+1_Predpoklady!$C$5*1_Predpoklady!$C$9*1_Predpoklady!$C$31+73*1_Predpoklady!$C$32+1_Predpoklady!$C$34*1_Predpoklady!$C$33)-4_PnL_cielovy_stav!$D$31,1),99)</f>
        <v>9.20484258325751</v>
      </c>
      <c r="D30" s="62" t="n">
        <f aca="false">IFERROR(5_CAPEX!$F$30/MAX(1_Predpoklady!$C$5*5500*0.65+(137*1_Predpoklady!$C$30+1_Predpoklady!$C$5*1_Predpoklady!$C$9*1_Predpoklady!$C$31+73*1_Predpoklady!$C$32+1_Predpoklady!$C$34*1_Predpoklady!$C$33)-4_PnL_cielovy_stav!$D$31,1),99)</f>
        <v>7.93633967251115</v>
      </c>
      <c r="E30" s="62" t="n">
        <f aca="false">IFERROR(5_CAPEX!$F$30/MAX(1_Predpoklady!$C$5*6000*0.65+(137*1_Predpoklady!$C$30+1_Predpoklady!$C$5*1_Predpoklady!$C$9*1_Predpoklady!$C$31+73*1_Predpoklady!$C$32+1_Predpoklady!$C$34*1_Predpoklady!$C$33)-4_PnL_cielovy_stav!$D$31,1),99)</f>
        <v>6.97511195582636</v>
      </c>
      <c r="F30" s="62" t="n">
        <f aca="false">IFERROR(5_CAPEX!$F$30/MAX(1_Predpoklady!$C$5*6500*0.65+(137*1_Predpoklady!$C$30+1_Predpoklady!$C$5*1_Predpoklady!$C$9*1_Predpoklady!$C$31+73*1_Predpoklady!$C$32+1_Predpoklady!$C$34*1_Predpoklady!$C$33)-4_PnL_cielovy_stav!$D$31,1),99)</f>
        <v>6.22157217965552</v>
      </c>
      <c r="G30" s="62" t="n">
        <f aca="false">IFERROR(5_CAPEX!$F$30/MAX(1_Predpoklady!$C$5*7000*0.65+(137*1_Predpoklady!$C$30+1_Predpoklady!$C$5*1_Predpoklady!$C$9*1_Predpoklady!$C$31+73*1_Predpoklady!$C$32+1_Predpoklady!$C$34*1_Predpoklady!$C$33)-4_PnL_cielovy_stav!$D$31,1),99)</f>
        <v>5.61497192514038</v>
      </c>
    </row>
    <row r="31" customFormat="false" ht="15" hidden="false" customHeight="true" outlineLevel="0" collapsed="false">
      <c r="B31" s="58" t="n">
        <v>0.75</v>
      </c>
      <c r="C31" s="62" t="n">
        <f aca="false">IFERROR(5_CAPEX!$F$30/MAX(1_Predpoklady!$C$5*5000*0.75+(137*1_Predpoklady!$C$30+1_Predpoklady!$C$5*1_Predpoklady!$C$9*1_Predpoklady!$C$31+73*1_Predpoklady!$C$32+1_Predpoklady!$C$34*1_Predpoklady!$C$33)-4_PnL_cielovy_stav!$D$31,1),99)</f>
        <v>7.38810928875468</v>
      </c>
      <c r="D31" s="62" t="n">
        <f aca="false">IFERROR(5_CAPEX!$F$30/MAX(1_Predpoklady!$C$5*5500*0.75+(137*1_Predpoklady!$C$30+1_Predpoklady!$C$5*1_Predpoklady!$C$9*1_Predpoklady!$C$31+73*1_Predpoklady!$C$32+1_Predpoklady!$C$34*1_Predpoklady!$C$33)-4_PnL_cielovy_stav!$D$31,1),99)</f>
        <v>6.43549320634266</v>
      </c>
      <c r="E31" s="62" t="n">
        <f aca="false">IFERROR(5_CAPEX!$F$30/MAX(1_Predpoklady!$C$5*6000*0.75+(137*1_Predpoklady!$C$30+1_Predpoklady!$C$5*1_Predpoklady!$C$9*1_Predpoklady!$C$31+73*1_Predpoklady!$C$32+1_Predpoklady!$C$34*1_Predpoklady!$C$33)-4_PnL_cielovy_stav!$D$31,1),99)</f>
        <v>5.70047867777321</v>
      </c>
      <c r="F31" s="62" t="n">
        <f aca="false">IFERROR(5_CAPEX!$F$30/MAX(1_Predpoklady!$C$5*6500*0.75+(137*1_Predpoklady!$C$30+1_Predpoklady!$C$5*1_Predpoklady!$C$9*1_Predpoklady!$C$31+73*1_Predpoklady!$C$32+1_Predpoklady!$C$34*1_Predpoklady!$C$33)-4_PnL_cielovy_stav!$D$31,1),99)</f>
        <v>5.11614981252933</v>
      </c>
      <c r="G31" s="62" t="n">
        <f aca="false">IFERROR(5_CAPEX!$F$30/MAX(1_Predpoklady!$C$5*7000*0.75+(137*1_Predpoklady!$C$30+1_Predpoklady!$C$5*1_Predpoklady!$C$9*1_Predpoklady!$C$31+73*1_Predpoklady!$C$32+1_Predpoklady!$C$34*1_Predpoklady!$C$33)-4_PnL_cielovy_stav!$D$31,1),99)</f>
        <v>4.64047669224507</v>
      </c>
    </row>
    <row r="32" customFormat="false" ht="15" hidden="false" customHeight="true" outlineLevel="0" collapsed="false">
      <c r="B32" s="58" t="n">
        <v>0.85</v>
      </c>
      <c r="C32" s="62" t="n">
        <f aca="false">IFERROR(5_CAPEX!$F$30/MAX(1_Predpoklady!$C$5*5000*0.85+(137*1_Predpoklady!$C$30+1_Predpoklady!$C$5*1_Predpoklady!$C$9*1_Predpoklady!$C$31+73*1_Predpoklady!$C$32+1_Predpoklady!$C$34*1_Predpoklady!$C$33)-4_PnL_cielovy_stav!$D$31,1),99)</f>
        <v>6.17029576760567</v>
      </c>
      <c r="D32" s="62" t="n">
        <f aca="false">IFERROR(5_CAPEX!$F$30/MAX(1_Predpoklady!$C$5*5500*0.85+(137*1_Predpoklady!$C$30+1_Predpoklady!$C$5*1_Predpoklady!$C$9*1_Predpoklady!$C$31+73*1_Predpoklady!$C$32+1_Predpoklady!$C$34*1_Predpoklady!$C$33)-4_PnL_cielovy_stav!$D$31,1),99)</f>
        <v>5.41202211073682</v>
      </c>
      <c r="E32" s="62" t="n">
        <f aca="false">IFERROR(5_CAPEX!$F$30/MAX(1_Predpoklady!$C$5*6000*0.85+(137*1_Predpoklady!$C$30+1_Predpoklady!$C$5*1_Predpoklady!$C$9*1_Predpoklady!$C$31+73*1_Predpoklady!$C$32+1_Predpoklady!$C$34*1_Predpoklady!$C$33)-4_PnL_cielovy_stav!$D$31,1),99)</f>
        <v>4.81972180376908</v>
      </c>
      <c r="F32" s="62" t="n">
        <f aca="false">IFERROR(5_CAPEX!$F$30/MAX(1_Predpoklady!$C$5*6500*0.85+(137*1_Predpoklady!$C$30+1_Predpoklady!$C$5*1_Predpoklady!$C$9*1_Predpoklady!$C$31+73*1_Predpoklady!$C$32+1_Predpoklady!$C$34*1_Predpoklady!$C$33)-4_PnL_cielovy_stav!$D$31,1),99)</f>
        <v>4.34427719815397</v>
      </c>
      <c r="G32" s="62" t="n">
        <f aca="false">IFERROR(5_CAPEX!$F$30/MAX(1_Predpoklady!$C$5*7000*0.85+(137*1_Predpoklady!$C$30+1_Predpoklady!$C$5*1_Predpoklady!$C$9*1_Predpoklady!$C$31+73*1_Predpoklady!$C$32+1_Predpoklady!$C$34*1_Predpoklady!$C$33)-4_PnL_cielovy_stav!$D$31,1),99)</f>
        <v>3.954211428833</v>
      </c>
    </row>
    <row r="33" customFormat="false" ht="15" hidden="false" customHeight="true" outlineLevel="0" collapsed="false">
      <c r="B33" s="58" t="n">
        <v>0.95</v>
      </c>
      <c r="C33" s="62" t="n">
        <f aca="false">IFERROR(5_CAPEX!$F$30/MAX(1_Predpoklady!$C$5*5000*0.95+(137*1_Predpoklady!$C$30+1_Predpoklady!$C$5*1_Predpoklady!$C$9*1_Predpoklady!$C$31+73*1_Predpoklady!$C$32+1_Predpoklady!$C$34*1_Predpoklady!$C$33)-4_PnL_cielovy_stav!$D$31,1),99)</f>
        <v>5.29714482478856</v>
      </c>
      <c r="D33" s="62" t="n">
        <f aca="false">IFERROR(5_CAPEX!$F$30/MAX(1_Predpoklady!$C$5*5500*0.95+(137*1_Predpoklady!$C$30+1_Predpoklady!$C$5*1_Predpoklady!$C$9*1_Predpoklady!$C$31+73*1_Predpoklady!$C$32+1_Predpoklady!$C$34*1_Predpoklady!$C$33)-4_PnL_cielovy_stav!$D$31,1),99)</f>
        <v>4.669419253974</v>
      </c>
      <c r="E33" s="62" t="n">
        <f aca="false">IFERROR(5_CAPEX!$F$30/MAX(1_Predpoklady!$C$5*6000*0.95+(137*1_Predpoklady!$C$30+1_Predpoklady!$C$5*1_Predpoklady!$C$9*1_Predpoklady!$C$31+73*1_Predpoklady!$C$32+1_Predpoklady!$C$34*1_Predpoklady!$C$33)-4_PnL_cielovy_stav!$D$31,1),99)</f>
        <v>4.17470567023914</v>
      </c>
      <c r="F33" s="62" t="n">
        <f aca="false">IFERROR(5_CAPEX!$F$30/MAX(1_Predpoklady!$C$5*6500*0.95+(137*1_Predpoklady!$C$30+1_Predpoklady!$C$5*1_Predpoklady!$C$9*1_Predpoklady!$C$31+73*1_Predpoklady!$C$32+1_Predpoklady!$C$34*1_Predpoklady!$C$33)-4_PnL_cielovy_stav!$D$31,1),99)</f>
        <v>3.77477722763957</v>
      </c>
      <c r="G33" s="62" t="n">
        <f aca="false">IFERROR(5_CAPEX!$F$30/MAX(1_Predpoklady!$C$5*7000*0.95+(137*1_Predpoklady!$C$30+1_Predpoklady!$C$5*1_Predpoklady!$C$9*1_Predpoklady!$C$31+73*1_Predpoklady!$C$32+1_Predpoklady!$C$34*1_Predpoklady!$C$33)-4_PnL_cielovy_stav!$D$31,1),99)</f>
        <v>3.44477470928003</v>
      </c>
    </row>
    <row r="34" customFormat="false" ht="15" hidden="false" customHeight="true" outlineLevel="0" collapsed="false">
      <c r="B34" s="58" t="n">
        <v>1.05</v>
      </c>
      <c r="C34" s="62" t="n">
        <f aca="false">IFERROR(5_CAPEX!$F$30/MAX(1_Predpoklady!$C$5*5000*1.05+(137*1_Predpoklady!$C$30+1_Predpoklady!$C$5*1_Predpoklady!$C$9*1_Predpoklady!$C$31+73*1_Predpoklady!$C$32+1_Predpoklady!$C$34*1_Predpoklady!$C$33)-4_PnL_cielovy_stav!$D$31,1),99)</f>
        <v>4.64047669224507</v>
      </c>
      <c r="D34" s="62" t="n">
        <f aca="false">IFERROR(5_CAPEX!$F$30/MAX(1_Predpoklady!$C$5*5500*1.05+(137*1_Predpoklady!$C$30+1_Predpoklady!$C$5*1_Predpoklady!$C$9*1_Predpoklady!$C$31+73*1_Predpoklady!$C$32+1_Predpoklady!$C$34*1_Predpoklady!$C$33)-4_PnL_cielovy_stav!$D$31,1),99)</f>
        <v>4.10601789390167</v>
      </c>
      <c r="E34" s="62" t="n">
        <f aca="false">IFERROR(5_CAPEX!$F$30/MAX(1_Predpoklady!$C$5*6000*1.05+(137*1_Predpoklady!$C$30+1_Predpoklady!$C$5*1_Predpoklady!$C$9*1_Predpoklady!$C$31+73*1_Predpoklady!$C$32+1_Predpoklady!$C$34*1_Predpoklady!$C$33)-4_PnL_cielovy_stav!$D$31,1),99)</f>
        <v>3.68195514113069</v>
      </c>
      <c r="F34" s="62" t="n">
        <f aca="false">IFERROR(5_CAPEX!$F$30/MAX(1_Predpoklady!$C$5*6500*1.05+(137*1_Predpoklady!$C$30+1_Predpoklady!$C$5*1_Predpoklady!$C$9*1_Predpoklady!$C$31+73*1_Predpoklady!$C$32+1_Predpoklady!$C$34*1_Predpoklady!$C$33)-4_PnL_cielovy_stav!$D$31,1),99)</f>
        <v>3.33728577329636</v>
      </c>
      <c r="G34" s="62" t="n">
        <f aca="false">IFERROR(5_CAPEX!$F$30/MAX(1_Predpoklady!$C$5*7000*1.05+(137*1_Predpoklady!$C$30+1_Predpoklady!$C$5*1_Predpoklady!$C$9*1_Predpoklady!$C$31+73*1_Predpoklady!$C$32+1_Predpoklady!$C$34*1_Predpoklady!$C$33)-4_PnL_cielovy_stav!$D$31,1),99)</f>
        <v>3.05162214233114</v>
      </c>
    </row>
    <row r="35" customFormat="false" ht="15" hidden="false" customHeight="true" outlineLevel="0" collapsed="false">
      <c r="B35" s="58" t="n">
        <v>1.15</v>
      </c>
      <c r="C35" s="62" t="n">
        <f aca="false">IFERROR(5_CAPEX!$F$30/MAX(1_Predpoklady!$C$5*5000*1.15+(137*1_Predpoklady!$C$30+1_Predpoklady!$C$5*1_Predpoklady!$C$9*1_Predpoklady!$C$31+73*1_Predpoklady!$C$32+1_Predpoklady!$C$34*1_Predpoklady!$C$33)-4_PnL_cielovy_stav!$D$31,1),99)</f>
        <v>4.12866129168643</v>
      </c>
      <c r="D35" s="62" t="n">
        <f aca="false">IFERROR(5_CAPEX!$F$30/MAX(1_Predpoklady!$C$5*5500*1.15+(137*1_Predpoklady!$C$30+1_Predpoklady!$C$5*1_Predpoklady!$C$9*1_Predpoklady!$C$31+73*1_Predpoklady!$C$32+1_Predpoklady!$C$34*1_Predpoklady!$C$33)-4_PnL_cielovy_stav!$D$31,1),99)</f>
        <v>3.66393584360247</v>
      </c>
      <c r="E35" s="62" t="n">
        <f aca="false">IFERROR(5_CAPEX!$F$30/MAX(1_Predpoklady!$C$5*6000*1.15+(137*1_Predpoklady!$C$30+1_Predpoklady!$C$5*1_Predpoklady!$C$9*1_Predpoklady!$C$31+73*1_Predpoklady!$C$32+1_Predpoklady!$C$34*1_Predpoklady!$C$33)-4_PnL_cielovy_stav!$D$31,1),99)</f>
        <v>3.29324547435345</v>
      </c>
      <c r="F35" s="62" t="n">
        <f aca="false">IFERROR(5_CAPEX!$F$30/MAX(1_Predpoklady!$C$5*6500*1.15+(137*1_Predpoklady!$C$30+1_Predpoklady!$C$5*1_Predpoklady!$C$9*1_Predpoklady!$C$31+73*1_Predpoklady!$C$32+1_Predpoklady!$C$34*1_Predpoklady!$C$33)-4_PnL_cielovy_stav!$D$31,1),99)</f>
        <v>2.99067113003694</v>
      </c>
      <c r="G35" s="62" t="n">
        <f aca="false">IFERROR(5_CAPEX!$F$30/MAX(1_Predpoklady!$C$5*7000*1.15+(137*1_Predpoklady!$C$30+1_Predpoklady!$C$5*1_Predpoklady!$C$9*1_Predpoklady!$C$31+73*1_Predpoklady!$C$32+1_Predpoklady!$C$34*1_Predpoklady!$C$33)-4_PnL_cielovy_stav!$D$31,1),99)</f>
        <v>2.7390177097129</v>
      </c>
    </row>
    <row r="38" customFormat="false" ht="15" hidden="false" customHeight="true" outlineLevel="0" collapsed="false">
      <c r="B38" s="17" t="s">
        <v>365</v>
      </c>
      <c r="C38" s="17"/>
      <c r="D38" s="17"/>
      <c r="E38" s="17"/>
      <c r="F38" s="17"/>
      <c r="G38" s="17"/>
      <c r="H38" s="17"/>
      <c r="I38" s="17"/>
    </row>
    <row r="39" customFormat="false" ht="15" hidden="false" customHeight="true" outlineLevel="0" collapsed="false">
      <c r="B39" s="3" t="s">
        <v>366</v>
      </c>
      <c r="C39" s="3"/>
      <c r="D39" s="3"/>
      <c r="E39" s="3"/>
      <c r="F39" s="3"/>
      <c r="G39" s="3"/>
      <c r="H39" s="3"/>
      <c r="I39" s="3"/>
    </row>
    <row r="40" customFormat="false" ht="15" hidden="false" customHeight="true" outlineLevel="0" collapsed="false">
      <c r="B40" s="7"/>
    </row>
    <row r="41" customFormat="false" ht="21.75" hidden="false" customHeight="true" outlineLevel="0" collapsed="false">
      <c r="B41" s="4" t="s">
        <v>365</v>
      </c>
      <c r="C41" s="4"/>
      <c r="D41" s="4"/>
      <c r="E41" s="4"/>
      <c r="F41" s="4"/>
      <c r="G41" s="4"/>
      <c r="H41" s="4"/>
      <c r="I41" s="4"/>
    </row>
    <row r="42" customFormat="false" ht="15" hidden="false" customHeight="true" outlineLevel="0" collapsed="false">
      <c r="B42" s="63" t="s">
        <v>367</v>
      </c>
      <c r="C42" s="63"/>
      <c r="D42" s="63"/>
      <c r="E42" s="63"/>
      <c r="F42" s="63"/>
      <c r="G42" s="63"/>
      <c r="H42" s="63"/>
      <c r="I42" s="63"/>
    </row>
    <row r="43" customFormat="false" ht="15" hidden="false" customHeight="true" outlineLevel="0" collapsed="false">
      <c r="B43" s="3" t="s">
        <v>368</v>
      </c>
      <c r="C43" s="3"/>
      <c r="D43" s="3"/>
      <c r="E43" s="3"/>
      <c r="F43" s="3"/>
      <c r="G43" s="3"/>
      <c r="H43" s="3"/>
      <c r="I43" s="3"/>
    </row>
    <row r="44" customFormat="false" ht="15" hidden="false" customHeight="true" outlineLevel="0" collapsed="false">
      <c r="B44" s="3"/>
      <c r="C44" s="3"/>
      <c r="D44" s="3"/>
      <c r="E44" s="3"/>
      <c r="F44" s="3"/>
      <c r="G44" s="3"/>
      <c r="H44" s="3"/>
      <c r="I44" s="3"/>
    </row>
    <row r="45" customFormat="false" ht="15" hidden="false" customHeight="true" outlineLevel="0" collapsed="false">
      <c r="B45" s="64" t="s">
        <v>369</v>
      </c>
      <c r="C45" s="64"/>
      <c r="D45" s="64"/>
      <c r="E45" s="64"/>
      <c r="F45" s="64"/>
      <c r="G45" s="64"/>
      <c r="H45" s="64"/>
      <c r="I45" s="64"/>
    </row>
    <row r="46" customFormat="false" ht="15" hidden="false" customHeight="true" outlineLevel="0" collapsed="false">
      <c r="B46" s="3" t="s">
        <v>370</v>
      </c>
      <c r="C46" s="3"/>
      <c r="D46" s="3"/>
      <c r="E46" s="3"/>
      <c r="F46" s="3"/>
      <c r="G46" s="3"/>
      <c r="H46" s="3"/>
      <c r="I46" s="3"/>
    </row>
    <row r="47" customFormat="false" ht="15" hidden="false" customHeight="true" outlineLevel="0" collapsed="false">
      <c r="B47" s="3" t="s">
        <v>371</v>
      </c>
      <c r="C47" s="3"/>
      <c r="D47" s="3"/>
      <c r="E47" s="3"/>
      <c r="F47" s="3"/>
      <c r="G47" s="3"/>
      <c r="H47" s="3"/>
      <c r="I47" s="3"/>
    </row>
    <row r="48" customFormat="false" ht="15" hidden="false" customHeight="true" outlineLevel="0" collapsed="false">
      <c r="B48" s="3" t="s">
        <v>372</v>
      </c>
      <c r="C48" s="3"/>
      <c r="D48" s="3"/>
      <c r="E48" s="3"/>
      <c r="F48" s="3"/>
      <c r="G48" s="3"/>
      <c r="H48" s="3"/>
      <c r="I48" s="3"/>
    </row>
    <row r="49" customFormat="false" ht="15" hidden="false" customHeight="false" outlineLevel="0" collapsed="false">
      <c r="B49" s="65" t="s">
        <v>373</v>
      </c>
      <c r="C49" s="65"/>
      <c r="D49" s="65"/>
      <c r="E49" s="65"/>
      <c r="F49" s="65"/>
      <c r="G49" s="65"/>
      <c r="H49" s="65"/>
      <c r="I49" s="65"/>
    </row>
    <row r="50" customFormat="false" ht="15" hidden="false" customHeight="false" outlineLevel="0" collapsed="false">
      <c r="B50" s="65"/>
      <c r="C50" s="65"/>
      <c r="D50" s="65"/>
      <c r="E50" s="65"/>
      <c r="F50" s="65"/>
      <c r="G50" s="65"/>
      <c r="H50" s="65"/>
      <c r="I50" s="65"/>
    </row>
    <row r="51" customFormat="false" ht="15" hidden="false" customHeight="false" outlineLevel="0" collapsed="false">
      <c r="B51" s="66" t="s">
        <v>374</v>
      </c>
      <c r="C51" s="66"/>
      <c r="D51" s="66"/>
      <c r="E51" s="66"/>
      <c r="F51" s="66"/>
      <c r="G51" s="66"/>
      <c r="H51" s="66"/>
      <c r="I51" s="66"/>
    </row>
    <row r="52" customFormat="false" ht="15" hidden="false" customHeight="false" outlineLevel="0" collapsed="false">
      <c r="B52" s="65" t="s">
        <v>375</v>
      </c>
      <c r="C52" s="65"/>
      <c r="D52" s="65"/>
      <c r="E52" s="65"/>
      <c r="F52" s="65"/>
      <c r="G52" s="65"/>
      <c r="H52" s="65"/>
      <c r="I52" s="65"/>
    </row>
    <row r="53" customFormat="false" ht="15" hidden="false" customHeight="false" outlineLevel="0" collapsed="false">
      <c r="B53" s="65" t="s">
        <v>376</v>
      </c>
      <c r="C53" s="65"/>
      <c r="D53" s="65"/>
      <c r="E53" s="65"/>
      <c r="F53" s="65"/>
      <c r="G53" s="65"/>
      <c r="H53" s="65"/>
      <c r="I53" s="65"/>
    </row>
    <row r="54" customFormat="false" ht="15" hidden="false" customHeight="false" outlineLevel="0" collapsed="false">
      <c r="B54" s="65"/>
      <c r="C54" s="65"/>
      <c r="D54" s="65"/>
      <c r="E54" s="65"/>
      <c r="F54" s="65"/>
      <c r="G54" s="65"/>
      <c r="H54" s="65"/>
      <c r="I54" s="65"/>
    </row>
    <row r="55" customFormat="false" ht="15" hidden="false" customHeight="false" outlineLevel="0" collapsed="false">
      <c r="B55" s="66" t="s">
        <v>377</v>
      </c>
      <c r="C55" s="66"/>
      <c r="D55" s="66"/>
      <c r="E55" s="66"/>
      <c r="F55" s="66"/>
      <c r="G55" s="66"/>
      <c r="H55" s="66"/>
      <c r="I55" s="66"/>
    </row>
    <row r="56" customFormat="false" ht="15" hidden="false" customHeight="false" outlineLevel="0" collapsed="false">
      <c r="B56" s="65" t="s">
        <v>378</v>
      </c>
      <c r="C56" s="65"/>
      <c r="D56" s="65"/>
      <c r="E56" s="65"/>
      <c r="F56" s="65"/>
      <c r="G56" s="65"/>
      <c r="H56" s="65"/>
      <c r="I56" s="65"/>
    </row>
    <row r="57" customFormat="false" ht="15" hidden="false" customHeight="false" outlineLevel="0" collapsed="false">
      <c r="B57" s="65" t="s">
        <v>379</v>
      </c>
      <c r="C57" s="65"/>
      <c r="D57" s="65"/>
      <c r="E57" s="65"/>
      <c r="F57" s="65"/>
      <c r="G57" s="65"/>
      <c r="H57" s="65"/>
      <c r="I57" s="65"/>
    </row>
    <row r="58" customFormat="false" ht="15" hidden="false" customHeight="false" outlineLevel="0" collapsed="false">
      <c r="B58" s="65" t="s">
        <v>380</v>
      </c>
      <c r="C58" s="65"/>
      <c r="D58" s="65"/>
      <c r="E58" s="65"/>
      <c r="F58" s="65"/>
      <c r="G58" s="65"/>
      <c r="H58" s="65"/>
      <c r="I58" s="65"/>
    </row>
    <row r="59" customFormat="false" ht="15" hidden="false" customHeight="false" outlineLevel="0" collapsed="false">
      <c r="B59" s="65" t="s">
        <v>381</v>
      </c>
      <c r="C59" s="65"/>
      <c r="D59" s="65"/>
      <c r="E59" s="65"/>
      <c r="F59" s="65"/>
      <c r="G59" s="65"/>
      <c r="H59" s="65"/>
      <c r="I59" s="65"/>
    </row>
    <row r="60" customFormat="false" ht="15" hidden="false" customHeight="false" outlineLevel="0" collapsed="false">
      <c r="B60" s="65"/>
      <c r="C60" s="65"/>
      <c r="D60" s="65"/>
      <c r="E60" s="65"/>
      <c r="F60" s="65"/>
      <c r="G60" s="65"/>
      <c r="H60" s="65"/>
      <c r="I60" s="65"/>
    </row>
    <row r="61" customFormat="false" ht="15" hidden="false" customHeight="false" outlineLevel="0" collapsed="false">
      <c r="B61" s="66" t="s">
        <v>382</v>
      </c>
      <c r="C61" s="66"/>
      <c r="D61" s="66"/>
      <c r="E61" s="66"/>
      <c r="F61" s="66"/>
      <c r="G61" s="66"/>
      <c r="H61" s="66"/>
      <c r="I61" s="66"/>
    </row>
    <row r="62" customFormat="false" ht="15" hidden="false" customHeight="false" outlineLevel="0" collapsed="false">
      <c r="B62" s="65" t="s">
        <v>383</v>
      </c>
      <c r="C62" s="65"/>
      <c r="D62" s="65"/>
      <c r="E62" s="65"/>
      <c r="F62" s="65"/>
      <c r="G62" s="65"/>
      <c r="H62" s="65"/>
      <c r="I62" s="65"/>
    </row>
    <row r="63" customFormat="false" ht="15" hidden="false" customHeight="false" outlineLevel="0" collapsed="false">
      <c r="B63" s="65" t="s">
        <v>384</v>
      </c>
      <c r="C63" s="65"/>
      <c r="D63" s="65"/>
      <c r="E63" s="65"/>
      <c r="F63" s="65"/>
      <c r="G63" s="65"/>
      <c r="H63" s="65"/>
      <c r="I63" s="65"/>
    </row>
    <row r="64" customFormat="false" ht="15" hidden="false" customHeight="false" outlineLevel="0" collapsed="false">
      <c r="B64" s="65" t="s">
        <v>385</v>
      </c>
      <c r="C64" s="65"/>
      <c r="D64" s="65"/>
      <c r="E64" s="65"/>
      <c r="F64" s="65"/>
      <c r="G64" s="65"/>
      <c r="H64" s="65"/>
      <c r="I64" s="65"/>
    </row>
  </sheetData>
  <mergeCells count="32">
    <mergeCell ref="B1:I1"/>
    <mergeCell ref="B2:I2"/>
    <mergeCell ref="B4:I4"/>
    <mergeCell ref="B14:I14"/>
    <mergeCell ref="B16:I16"/>
    <mergeCell ref="B27:I27"/>
    <mergeCell ref="B38:I38"/>
    <mergeCell ref="B39:I39"/>
    <mergeCell ref="B41:I41"/>
    <mergeCell ref="B42:I42"/>
    <mergeCell ref="B43:I43"/>
    <mergeCell ref="B44:I44"/>
    <mergeCell ref="B45:I45"/>
    <mergeCell ref="B46:I46"/>
    <mergeCell ref="B47:I47"/>
    <mergeCell ref="B48:I48"/>
    <mergeCell ref="B49:I49"/>
    <mergeCell ref="B50:I50"/>
    <mergeCell ref="B51:I51"/>
    <mergeCell ref="B52:I52"/>
    <mergeCell ref="B53:I53"/>
    <mergeCell ref="B54:I54"/>
    <mergeCell ref="B55:I55"/>
    <mergeCell ref="B56:I56"/>
    <mergeCell ref="B57:I57"/>
    <mergeCell ref="B58:I58"/>
    <mergeCell ref="B59:I59"/>
    <mergeCell ref="B60:I60"/>
    <mergeCell ref="B61:I61"/>
    <mergeCell ref="B62:I62"/>
    <mergeCell ref="B63:I63"/>
    <mergeCell ref="B64:I64"/>
  </mergeCells>
  <conditionalFormatting sqref="C6:G12">
    <cfRule type="colorScale" priority="2">
      <colorScale>
        <cfvo type="num" val="-200"/>
        <cfvo type="num" val="300"/>
        <cfvo type="num" val="900"/>
        <color rgb="FFF8696B"/>
        <color rgb="FFFFEB84"/>
        <color rgb="FF63BE7B"/>
      </colorScale>
    </cfRule>
  </conditionalFormatting>
  <conditionalFormatting sqref="C18:G24">
    <cfRule type="colorScale" priority="3">
      <colorScale>
        <cfvo type="num" val="-0.2"/>
        <cfvo type="num" val="0.15"/>
        <cfvo type="num" val="0.4"/>
        <color rgb="FFF8696B"/>
        <color rgb="FFFFEB84"/>
        <color rgb="FF63BE7B"/>
      </colorScale>
    </cfRule>
  </conditionalFormatting>
  <conditionalFormatting sqref="C29:G35">
    <cfRule type="colorScale" priority="4">
      <colorScale>
        <cfvo type="num" val="5"/>
        <cfvo type="num" val="15"/>
        <cfvo type="num" val="30"/>
        <color rgb="FF63BE7B"/>
        <color rgb="FFFFEB84"/>
        <color rgb="FFF8696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2026-04-27T06:03:43Z</dcterms:created>
  <dc:creator>openpyxl</dc:creator>
  <dc:description/>
  <dc:language>en-US</dc:language>
  <cp:lastModifiedBy/>
  <dcterms:modified xsi:type="dcterms:W3CDTF">2026-04-27T06:15:14Z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